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600" windowHeight="8085" activeTab="0"/>
  </bookViews>
  <sheets>
    <sheet name="DIRECCION Y COORDINACION" sheetId="1" r:id="rId1"/>
  </sheets>
  <definedNames>
    <definedName name="_xlnm.Print_Area" localSheetId="0">'DIRECCION Y COORDINACION'!$A$1:$Z$323</definedName>
    <definedName name="_xlnm.Print_Titles" localSheetId="0">'DIRECCION Y COORDINACION'!$24:$26</definedName>
  </definedNames>
  <calcPr fullCalcOnLoad="1"/>
</workbook>
</file>

<file path=xl/comments1.xml><?xml version="1.0" encoding="utf-8"?>
<comments xmlns="http://schemas.openxmlformats.org/spreadsheetml/2006/main">
  <authors>
    <author>conferencia</author>
  </authors>
  <commentList>
    <comment ref="F312" authorId="0">
      <text>
        <r>
          <rPr>
            <sz val="48"/>
            <rFont val="Tahoma"/>
            <family val="2"/>
          </rPr>
          <t xml:space="preserve">Presupuestar la formulacion de propuestas para MESCYT, CONIAF, Inversion Publica entre otros para 2016
</t>
        </r>
      </text>
    </comment>
    <comment ref="F64" authorId="0">
      <text>
        <r>
          <rPr>
            <b/>
            <sz val="48"/>
            <rFont val="Tahoma"/>
            <family val="2"/>
          </rPr>
          <t>Incluir dietas y gastos de representacion
en presupuesto proyectado 2016</t>
        </r>
        <r>
          <rPr>
            <sz val="4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<sst xmlns="http://schemas.openxmlformats.org/spreadsheetml/2006/main" count="542" uniqueCount="311">
  <si>
    <t>(4)</t>
  </si>
  <si>
    <t>(5)</t>
  </si>
  <si>
    <t>(8)</t>
  </si>
  <si>
    <t>Clasificación por Objeto del Gasto</t>
  </si>
  <si>
    <t>Descripción</t>
  </si>
  <si>
    <t>OBJ</t>
  </si>
  <si>
    <t>CTA</t>
  </si>
  <si>
    <t>SUB CTA</t>
  </si>
  <si>
    <t>Fuente  de Finan.</t>
  </si>
  <si>
    <t>Organismo Financiador</t>
  </si>
  <si>
    <t>A. GASTOS CORRIENTES</t>
  </si>
  <si>
    <t>GASTOS DE OPERACIONES</t>
  </si>
  <si>
    <t xml:space="preserve">  Sueldos fijos</t>
  </si>
  <si>
    <t>Sueldo Personal Nominal</t>
  </si>
  <si>
    <t>Suplencias</t>
  </si>
  <si>
    <t>Primas por antigüedad</t>
  </si>
  <si>
    <t>Jornales</t>
  </si>
  <si>
    <t>Sobrejornales</t>
  </si>
  <si>
    <t>Dietas en el país</t>
  </si>
  <si>
    <t>Bonificaciones</t>
  </si>
  <si>
    <t>Radiocomunicación</t>
  </si>
  <si>
    <t xml:space="preserve">  Teléfono local</t>
  </si>
  <si>
    <t xml:space="preserve">  Electricidad</t>
  </si>
  <si>
    <t xml:space="preserve">  Agua</t>
  </si>
  <si>
    <t>Publicidad y propaganda</t>
  </si>
  <si>
    <t>Impresión y Encuadernación</t>
  </si>
  <si>
    <t xml:space="preserve"> Viáticos dentro del país</t>
  </si>
  <si>
    <t xml:space="preserve"> Viáticos fuera del país</t>
  </si>
  <si>
    <t>Pasajes</t>
  </si>
  <si>
    <t>Fletes</t>
  </si>
  <si>
    <t>Almacenaje</t>
  </si>
  <si>
    <t>Peaje</t>
  </si>
  <si>
    <t>Otros Alquileres</t>
  </si>
  <si>
    <t>Gastos judiciales</t>
  </si>
  <si>
    <t>Comisiones y gastos bancarios</t>
  </si>
  <si>
    <t>Servicios funerarios y gastos conexos</t>
  </si>
  <si>
    <t>Impuestos, derechos y tasas</t>
  </si>
  <si>
    <t>MATERIALES Y SUMINISTROS</t>
  </si>
  <si>
    <t xml:space="preserve"> Alimentos y bebidas para personas</t>
  </si>
  <si>
    <t xml:space="preserve">Alimentos para animales </t>
  </si>
  <si>
    <t>Productos agroforestales y pecuarios</t>
  </si>
  <si>
    <t>Hilados y telas</t>
  </si>
  <si>
    <t>Acabados textiles</t>
  </si>
  <si>
    <t>Prendas de vestir</t>
  </si>
  <si>
    <t>Calzados</t>
  </si>
  <si>
    <t xml:space="preserve">Texto de enseñanza </t>
  </si>
  <si>
    <t>Especies timbradas y valoradas</t>
  </si>
  <si>
    <t>Combustibles y lubricantes</t>
  </si>
  <si>
    <t>Productos químicos y conexos</t>
  </si>
  <si>
    <t>Llantas y neumáticos</t>
  </si>
  <si>
    <t>Minerales</t>
  </si>
  <si>
    <t>Material de limpieza</t>
  </si>
  <si>
    <t>Utiles Menores médico- quirúrgicos</t>
  </si>
  <si>
    <t>Utiles de cocina y comedor</t>
  </si>
  <si>
    <t>Productos eléctricos y afines</t>
  </si>
  <si>
    <t>Prestaciones de la seguridad social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</si>
  <si>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</si>
  <si>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</si>
  <si>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</si>
  <si>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</si>
  <si>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</si>
  <si>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</si>
  <si>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</si>
  <si>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</si>
  <si>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</si>
  <si>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</si>
  <si>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contribuciones al seguro de pensiones </t>
  </si>
  <si>
    <t>PRESUPUESTO DE GASTOS POR ACTIVIDAD U OBRA</t>
  </si>
  <si>
    <t>Fondo</t>
  </si>
  <si>
    <t>DIRECCION GENERAL  DE PRESUPUESTO</t>
  </si>
  <si>
    <t xml:space="preserve">SECRETARIA DE ESTADO DE HACIENDA </t>
  </si>
  <si>
    <t>ENERO 2014</t>
  </si>
  <si>
    <t>TIPO</t>
  </si>
  <si>
    <t>AUXILIAR</t>
  </si>
  <si>
    <t>REMUNERACIONES</t>
  </si>
  <si>
    <t>Remuneraciones al personal fijo</t>
  </si>
  <si>
    <t>Remuneraciones al personal con carácter transitorio</t>
  </si>
  <si>
    <t>Sueldo al personal contratado y/o igualado</t>
  </si>
  <si>
    <t>Sueldos al personal por servicios especiales</t>
  </si>
  <si>
    <t>Sueldo al personal nominal en periodo probatorio</t>
  </si>
  <si>
    <t>Sueldos al personal fijo en tramite de pensiones</t>
  </si>
  <si>
    <t>Sueldo Anual No. 13</t>
  </si>
  <si>
    <t>Prestaciones economicas</t>
  </si>
  <si>
    <t>Pago de porcentaje por desvinculacion de cargo</t>
  </si>
  <si>
    <t>Prestacion laboral por desvinculacion</t>
  </si>
  <si>
    <t>Proporcion de vacaciones no disfrutadas</t>
  </si>
  <si>
    <t>SOBRESUELDOS</t>
  </si>
  <si>
    <t>Compensacion</t>
  </si>
  <si>
    <t>Compensacion por gastos de alimentacion</t>
  </si>
  <si>
    <t>Compensacion por horas extraordinarias</t>
  </si>
  <si>
    <t>Prima de transporte</t>
  </si>
  <si>
    <t>Compensacion por servicios de seguridad</t>
  </si>
  <si>
    <t>Compensacion por resultados</t>
  </si>
  <si>
    <t>Compensacion por distancia</t>
  </si>
  <si>
    <t>Compensaciones especiales</t>
  </si>
  <si>
    <t>Bono por desempeño</t>
  </si>
  <si>
    <t>Especialismo</t>
  </si>
  <si>
    <t>DIETAS Y GASTOS DE REPRESENTACION</t>
  </si>
  <si>
    <t>Dietas</t>
  </si>
  <si>
    <t>Dietas en el exterior</t>
  </si>
  <si>
    <t xml:space="preserve">Gastos de representación </t>
  </si>
  <si>
    <t>Gastos de representacion en el pais</t>
  </si>
  <si>
    <t>Gastos de representacion en el exterior</t>
  </si>
  <si>
    <t>GRATIFICACIONES Y BONIFICACIONES</t>
  </si>
  <si>
    <t>Otras Gratificaciones y Bonificaciones</t>
  </si>
  <si>
    <t>Gratificaciones por pasantias</t>
  </si>
  <si>
    <t>CONTRIBUCIONES A LA SEGURIDAD SOCIAL Y RIESGO LABORAL</t>
  </si>
  <si>
    <t>Contribuciones al seguro de salud</t>
  </si>
  <si>
    <t>contribuciones al seguro de riesgo laboral</t>
  </si>
  <si>
    <t>contribuciones al plan de retiro complementario</t>
  </si>
  <si>
    <t>SERVICIOS BASICOS</t>
  </si>
  <si>
    <t xml:space="preserve"> Servicios telefónico de larga distancia</t>
  </si>
  <si>
    <t xml:space="preserve">  Telefax y correos</t>
  </si>
  <si>
    <t xml:space="preserve">  Servicios de internet y television por cable</t>
  </si>
  <si>
    <t>Recoleccion de residuos solidos</t>
  </si>
  <si>
    <t>PUBLICIDAD IMPRESIÓN Y ENCUADERNACION</t>
  </si>
  <si>
    <t>VIATICOS</t>
  </si>
  <si>
    <t>TRANSPORTE Y ALMACENAJE</t>
  </si>
  <si>
    <t>ALQUILERES Y RENTAS</t>
  </si>
  <si>
    <t>Alquileres y rentas de edificios y locales</t>
  </si>
  <si>
    <t>Alquileres de equipos de producción</t>
  </si>
  <si>
    <t>Alquileres de maquinarias y equipos</t>
  </si>
  <si>
    <t>Alquiler de equipo de educacional</t>
  </si>
  <si>
    <t>Alquiler de equipo para computacion</t>
  </si>
  <si>
    <t>Alquiler de equipos de comunicación</t>
  </si>
  <si>
    <t>Alquiler de equipo de oficina y muebles</t>
  </si>
  <si>
    <t>Alquiler de equipos sanitarios y de laboratorios</t>
  </si>
  <si>
    <t>Alquileres de equipos de transporte, tracción y elevación</t>
  </si>
  <si>
    <t xml:space="preserve">Alquiler de tierras </t>
  </si>
  <si>
    <t>Alquileres de terrenos</t>
  </si>
  <si>
    <t>Alquileres de equipos de construccion y movimiento de tierras</t>
  </si>
  <si>
    <t>SEGUROS</t>
  </si>
  <si>
    <t>Seguros de bienes muebles</t>
  </si>
  <si>
    <t>Seguros de personas</t>
  </si>
  <si>
    <t>Seguros de la produccion agricola</t>
  </si>
  <si>
    <t>SERVICIOS DE CONSERVACION, REPARACIONES MENORES E INSTALACIONES TEMPORALES</t>
  </si>
  <si>
    <t>Obras menores en edificaciones</t>
  </si>
  <si>
    <t>Servicios especiales de mantenimiento y reparacion</t>
  </si>
  <si>
    <t>Limpieza, desmalezamiento de tierras y terrenos</t>
  </si>
  <si>
    <t>Mantenimiento y reparacion de obras civiles en instalaciones varias</t>
  </si>
  <si>
    <t>Obras en bienes de dominio publico</t>
  </si>
  <si>
    <t>Instalaciones electricas</t>
  </si>
  <si>
    <t>Servicios de pintura y derivados con fin de higiene y embellecimiento</t>
  </si>
  <si>
    <t>Reparaciones de maquinarias y equipos</t>
  </si>
  <si>
    <t>Mantenimiento y reparacion en equipo para computacion</t>
  </si>
  <si>
    <t xml:space="preserve">Mantenimiento y reparacion en equipos sanitarios y de laboratorio </t>
  </si>
  <si>
    <t xml:space="preserve">Mantenimiento y reparacion en equipos de transporte, traccion y elevacion </t>
  </si>
  <si>
    <t>Instalaciones temporales</t>
  </si>
  <si>
    <t>Servicios sanitarios medicos y veterinarios</t>
  </si>
  <si>
    <t>Fumigacion, lavanderia, limpieza e higiene</t>
  </si>
  <si>
    <t>Fumigacion</t>
  </si>
  <si>
    <t>Lavanderia</t>
  </si>
  <si>
    <t>Limpieza e higiene</t>
  </si>
  <si>
    <t>Organización de eventos y festividades</t>
  </si>
  <si>
    <t>Eventos generales</t>
  </si>
  <si>
    <t>Festividades</t>
  </si>
  <si>
    <t>Servicios juridicos</t>
  </si>
  <si>
    <t>Servicios de contabilidad y auditoria</t>
  </si>
  <si>
    <t>Servicios de capacitacion</t>
  </si>
  <si>
    <t>Servicios de informatica y sistemas computarizados</t>
  </si>
  <si>
    <t xml:space="preserve">Otros servicios técnicos y profesionales </t>
  </si>
  <si>
    <t>Impuestos</t>
  </si>
  <si>
    <t>Derechos</t>
  </si>
  <si>
    <t>Tasas</t>
  </si>
  <si>
    <t>Otros gastos operativos</t>
  </si>
  <si>
    <t>Otros gastos operativos de instituciones empresariales</t>
  </si>
  <si>
    <t>ALIMENTOS Y PRODUCTOS AGROFORESTALES</t>
  </si>
  <si>
    <t>Productos pecuarios</t>
  </si>
  <si>
    <t>Productos agricolas</t>
  </si>
  <si>
    <t>Productos forestales</t>
  </si>
  <si>
    <t>Madera, corcho y sus manufacturas</t>
  </si>
  <si>
    <t>TEXTILES Y VESTUARIOS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</si>
  <si>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</si>
  <si>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</si>
  <si>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</si>
  <si>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</si>
  <si>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</si>
  <si>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</si>
  <si>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</si>
  <si>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</si>
  <si>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</si>
  <si>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</si>
  <si>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Articulos de cuero</t>
  </si>
  <si>
    <t>Articulos de caucho</t>
  </si>
  <si>
    <t>Articulos de plastico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</si>
  <si>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</si>
  <si>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</si>
  <si>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</si>
  <si>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</si>
  <si>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</si>
  <si>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</si>
  <si>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</si>
  <si>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</si>
  <si>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</si>
  <si>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</si>
  <si>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</si>
  <si>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metalicos y sus derivados</t>
  </si>
  <si>
    <t>Productos ferrosos</t>
  </si>
  <si>
    <t>Productos  no ferrosos</t>
  </si>
  <si>
    <t>Estructuras metalicas acabadas</t>
  </si>
  <si>
    <t>Herramientas menores</t>
  </si>
  <si>
    <t>Productos de hojalata</t>
  </si>
  <si>
    <t>Accesorios de metal</t>
  </si>
  <si>
    <t>Minerales metaliferos</t>
  </si>
  <si>
    <t>Petroleo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</si>
  <si>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</si>
  <si>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</si>
  <si>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</si>
  <si>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</si>
  <si>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</si>
  <si>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metalicos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</si>
  <si>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</si>
  <si>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</si>
  <si>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</si>
  <si>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</si>
  <si>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</si>
  <si>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</si>
  <si>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Productos explosivos y pirotecnia</t>
  </si>
  <si>
    <t>Productos fotoquimicos</t>
  </si>
  <si>
    <t>Productos quimicos de uso personal</t>
  </si>
  <si>
    <t>Abonos y fertilizantes</t>
  </si>
  <si>
    <t>Insecticidas, fumigantes y otros</t>
  </si>
  <si>
    <t>PRODUCTOS Y UTILIES VARIOS</t>
  </si>
  <si>
    <t>Utiles de escritorio, oficina informatica y de enseñanza</t>
  </si>
  <si>
    <t>Utiles destinados a actividades deportivas y recreativas</t>
  </si>
  <si>
    <t>Productos y utiles veterinarios</t>
  </si>
  <si>
    <t>Otros repuestos y accesorios menores</t>
  </si>
  <si>
    <t>TRANSFERENCIAS CORRIENTES</t>
  </si>
  <si>
    <t>TRANSFERENCIAS CORRIENTES AL SECTOR PRIVADO</t>
  </si>
  <si>
    <t xml:space="preserve">Pensiones </t>
  </si>
  <si>
    <t>Jubilaciones</t>
  </si>
  <si>
    <t>Indemnizacion laboral</t>
  </si>
  <si>
    <t>Ayudas y donaciones a personas</t>
  </si>
  <si>
    <t>Ayudas y donaciones programadas a hogares y personas</t>
  </si>
  <si>
    <t>Ayudas y donaciones ocasionales a hogares y personas</t>
  </si>
  <si>
    <t>Becas y viajes de estudios</t>
  </si>
  <si>
    <t>Becas nacionales</t>
  </si>
  <si>
    <t>Becas extranjeras</t>
  </si>
  <si>
    <t>TRANSFERENCIAS DE CAPITAL</t>
  </si>
  <si>
    <t>TRANSFERENCIAS DE CAPITAL AL SECTOR EXTERNO</t>
  </si>
  <si>
    <t>Transferencias de capital a organismos internacionales</t>
  </si>
  <si>
    <t>Transferencias de capital al sector privado externo</t>
  </si>
  <si>
    <t>BIENES MUEBLES, INMUEBLES E INTANGIBLES</t>
  </si>
  <si>
    <t>MOBILIARIO Y EQUIPO</t>
  </si>
  <si>
    <t>Muebles de oficina y estanteria</t>
  </si>
  <si>
    <t>Muebles de alojamiento, excepto de oficina y estanteria</t>
  </si>
  <si>
    <t>Equipos de computos</t>
  </si>
  <si>
    <t>Electrodomesticos</t>
  </si>
  <si>
    <t>Otros mobiliarios y equipos no identificados precedentemente</t>
  </si>
  <si>
    <t>REMUNERACIONES Y CONTRIBUCIONES</t>
  </si>
  <si>
    <t>CONTRATACION DE SERVICIOS</t>
  </si>
  <si>
    <t xml:space="preserve">Seguros de bienes inmuebles </t>
  </si>
  <si>
    <t>Otros seguros</t>
  </si>
  <si>
    <t>Contratacion de obras menores</t>
  </si>
  <si>
    <t>Mantenimiento y reparacion de muebles y equipos de oficina</t>
  </si>
  <si>
    <t>Mantenimiento y reparacion de equipo educacional</t>
  </si>
  <si>
    <t>Mantenimiento y reparacion de equipo de comunicacion</t>
  </si>
  <si>
    <t>OTROS SERVICIOS NO INCLUIDOS EN CONCEPTOS ANTERIORES</t>
  </si>
  <si>
    <t xml:space="preserve">Servicios Técnicos y Profesionales </t>
  </si>
  <si>
    <t>Estudios de ingenieria, arquitectura, investigaciones y analisis de factibilidad</t>
  </si>
  <si>
    <t>Intereses devengados internos por instituciones finacieras</t>
  </si>
  <si>
    <t>Keroseno</t>
  </si>
  <si>
    <t>Pinturas, lacas, barnices, diluyentes y absorbentes para pinturas</t>
  </si>
  <si>
    <t>productos y utiles varios no identificados precedentemente</t>
  </si>
  <si>
    <t>MOBILIARIO Y EQUIPO EDUCACIONAL Y RECREATIVO</t>
  </si>
  <si>
    <t>Equipos y aparatos audiovisuales</t>
  </si>
  <si>
    <t>Aparatos deportivos</t>
  </si>
  <si>
    <t>Camaras fotograficas y de video</t>
  </si>
  <si>
    <t>Equipos recreativos</t>
  </si>
  <si>
    <t>EQUIPO E INSTRUMENTAL, CIENTIFICO Y LABORATORIO</t>
  </si>
  <si>
    <t>Equipo medico y de laboratorio</t>
  </si>
  <si>
    <t>Instrumental medico y de laboratorio</t>
  </si>
  <si>
    <t>Equipo veterinario</t>
  </si>
  <si>
    <t>Equipo meteorologico y sismologico</t>
  </si>
  <si>
    <t>VEHICULOS Y EQUIPOS DE TRANSPORTE, TRACCION Y ELEVACION</t>
  </si>
  <si>
    <t>Automoviles y camiones</t>
  </si>
  <si>
    <t>Equipo de traccion</t>
  </si>
  <si>
    <t>Equipo de elevacion</t>
  </si>
  <si>
    <t>Otros equipos de transporte</t>
  </si>
  <si>
    <t>MAQUINARIA, OTROS EQUIPOS Y HERRAMIENTAS</t>
  </si>
  <si>
    <t>Maquinaria y equipo agropecuario</t>
  </si>
  <si>
    <t>Maquinaria y equipo industrial</t>
  </si>
  <si>
    <t>Maquinaria y equipo de construccion</t>
  </si>
  <si>
    <t>Sistemas de aire acondicionado, calefaccion y refrigeracion industrial y comercial</t>
  </si>
  <si>
    <t>Equipo de comunicacion, telecomunicaciones y señalamiento</t>
  </si>
  <si>
    <t>Equipo de generacion electrica, aparatos y accesorios electricos</t>
  </si>
  <si>
    <t>Herramientas y maquinas-herramientas</t>
  </si>
  <si>
    <t>ACTIVOS BIOLOGICOS CULTIVABLES</t>
  </si>
  <si>
    <t>Bovinos</t>
  </si>
  <si>
    <t>Porcinos</t>
  </si>
  <si>
    <t>Aves</t>
  </si>
  <si>
    <t>Ovinos y caprinos</t>
  </si>
  <si>
    <t>Peces y acuicultura</t>
  </si>
  <si>
    <t>Arboles, cultivos y plantas que generan productos recurrentes</t>
  </si>
  <si>
    <t>Equinos</t>
  </si>
  <si>
    <t>Especies menores y de zoologico</t>
  </si>
  <si>
    <t>Otros animales que generan produccion recurrente</t>
  </si>
  <si>
    <t>BIENES INTANGIBLES</t>
  </si>
  <si>
    <t>Investigacion y desarrollo</t>
  </si>
  <si>
    <t>Programa de informatica</t>
  </si>
  <si>
    <t>Programa de informatica y base de datos</t>
  </si>
  <si>
    <t>Base de datos</t>
  </si>
  <si>
    <t>Estudios de preinversion</t>
  </si>
  <si>
    <t>2015</t>
  </si>
  <si>
    <t>Gas Natural</t>
  </si>
  <si>
    <t>Transferencias Corrientes a Empresas del Sector Privado</t>
  </si>
  <si>
    <t>Transferencias Corrientes a Asociaciones sin Fines de Lucro y Partidos Politicos</t>
  </si>
  <si>
    <t>Transferencias Corrientes a Asociaciones sin Fines de Lucro</t>
  </si>
  <si>
    <t>DIRECCION Y COORDINACION</t>
  </si>
  <si>
    <t>GENERACION DE TECNOLOGIAS</t>
  </si>
  <si>
    <t>GESTION ADMINISTRATIVA Y FINANCIERA</t>
  </si>
</sst>
</file>

<file path=xl/styles.xml><?xml version="1.0" encoding="utf-8"?>
<styleSheet xmlns="http://schemas.openxmlformats.org/spreadsheetml/2006/main">
  <numFmts count="5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Z$&quot;#,##0_);\(&quot;BZ$&quot;#,##0\)"/>
    <numFmt numFmtId="171" formatCode="&quot;BZ$&quot;#,##0_);[Red]\(&quot;BZ$&quot;#,##0\)"/>
    <numFmt numFmtId="172" formatCode="&quot;BZ$&quot;#,##0.00_);\(&quot;BZ$&quot;#,##0.00\)"/>
    <numFmt numFmtId="173" formatCode="&quot;BZ$&quot;#,##0.00_);[Red]\(&quot;BZ$&quot;#,##0.00\)"/>
    <numFmt numFmtId="174" formatCode="_(&quot;BZ$&quot;* #,##0_);_(&quot;BZ$&quot;* \(#,##0\);_(&quot;BZ$&quot;* &quot;-&quot;_);_(@_)"/>
    <numFmt numFmtId="175" formatCode="_(&quot;BZ$&quot;* #,##0.00_);_(&quot;BZ$&quot;* \(#,##0.00\);_(&quot;BZ$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_(* #,##0.000_);_(* \(#,##0.000\);_(* &quot;-&quot;??_);_(@_)"/>
    <numFmt numFmtId="198" formatCode="_-* #,##0.0000_-;\-* #,##0.0000_-;_-* &quot;-&quot;????_-;_-@_-"/>
    <numFmt numFmtId="199" formatCode="0.00;[Red]0.00"/>
    <numFmt numFmtId="200" formatCode="_(* #,##0.0000_);_(* \(#,##0.0000\);_(* &quot;-&quot;??_);_(@_)"/>
    <numFmt numFmtId="201" formatCode="0.000;[Red]0.000"/>
    <numFmt numFmtId="202" formatCode="0.0000;[Red]0.0000"/>
    <numFmt numFmtId="203" formatCode="0.0;[Red]0.0"/>
    <numFmt numFmtId="204" formatCode="0;[Red]0"/>
    <numFmt numFmtId="205" formatCode="_(* #,##0.0000_);_(* \(#,##0.0000\);_(* &quot;-&quot;????_);_(@_)"/>
    <numFmt numFmtId="206" formatCode="[$-1C0A]dddd\,\ dd&quot; de &quot;mmmm&quot; de &quot;yyyy"/>
    <numFmt numFmtId="207" formatCode="[$-1C0A]d&quot; de &quot;mmmm&quot; de &quot;yyyy;@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* #,##0.0_);_(* \(#,##0.0\);_(* &quot;-&quot;??_);_(@_)"/>
    <numFmt numFmtId="212" formatCode="0.000000000%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b/>
      <sz val="72"/>
      <name val="Times New Roman"/>
      <family val="1"/>
    </font>
    <font>
      <sz val="72"/>
      <name val="Times New Roman"/>
      <family val="1"/>
    </font>
    <font>
      <sz val="72"/>
      <color indexed="48"/>
      <name val="Arial"/>
      <family val="2"/>
    </font>
    <font>
      <b/>
      <sz val="72"/>
      <color indexed="48"/>
      <name val="Times New Roman"/>
      <family val="1"/>
    </font>
    <font>
      <b/>
      <sz val="72"/>
      <color indexed="48"/>
      <name val="Arial"/>
      <family val="2"/>
    </font>
    <font>
      <sz val="72"/>
      <color indexed="52"/>
      <name val="Arial"/>
      <family val="2"/>
    </font>
    <font>
      <sz val="72"/>
      <color indexed="10"/>
      <name val="Arial"/>
      <family val="2"/>
    </font>
    <font>
      <b/>
      <sz val="72"/>
      <color indexed="52"/>
      <name val="Arial"/>
      <family val="2"/>
    </font>
    <font>
      <b/>
      <sz val="60"/>
      <name val="Times New Roman"/>
      <family val="1"/>
    </font>
    <font>
      <b/>
      <sz val="48"/>
      <name val="Tahoma"/>
      <family val="2"/>
    </font>
    <font>
      <sz val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0"/>
      <color indexed="8"/>
      <name val="Arial"/>
      <family val="0"/>
    </font>
    <font>
      <sz val="92"/>
      <color indexed="8"/>
      <name val="Arial"/>
      <family val="0"/>
    </font>
    <font>
      <b/>
      <sz val="48"/>
      <color indexed="8"/>
      <name val="Arial"/>
      <family val="0"/>
    </font>
    <font>
      <b/>
      <sz val="68"/>
      <color indexed="8"/>
      <name val="Arial"/>
      <family val="0"/>
    </font>
    <font>
      <sz val="48"/>
      <color indexed="8"/>
      <name val="Arial"/>
      <family val="0"/>
    </font>
    <font>
      <b/>
      <sz val="36"/>
      <color indexed="8"/>
      <name val="Arial"/>
      <family val="0"/>
    </font>
    <font>
      <sz val="72"/>
      <color indexed="8"/>
      <name val="Arial"/>
      <family val="0"/>
    </font>
    <font>
      <b/>
      <sz val="25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3" fillId="0" borderId="0" xfId="48" applyFont="1" applyAlignment="1">
      <alignment/>
    </xf>
    <xf numFmtId="43" fontId="4" fillId="0" borderId="0" xfId="48" applyFont="1" applyAlignment="1">
      <alignment/>
    </xf>
    <xf numFmtId="0" fontId="4" fillId="0" borderId="0" xfId="0" applyFont="1" applyAlignment="1">
      <alignment/>
    </xf>
    <xf numFmtId="43" fontId="3" fillId="0" borderId="0" xfId="48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48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0" xfId="48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 vertical="top"/>
    </xf>
    <xf numFmtId="0" fontId="3" fillId="0" borderId="15" xfId="0" applyFont="1" applyBorder="1" applyAlignment="1">
      <alignment horizontal="left"/>
    </xf>
    <xf numFmtId="0" fontId="6" fillId="0" borderId="16" xfId="0" applyFont="1" applyBorder="1" applyAlignment="1">
      <alignment vertical="top"/>
    </xf>
    <xf numFmtId="0" fontId="3" fillId="0" borderId="15" xfId="0" applyFont="1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43" fontId="3" fillId="0" borderId="10" xfId="48" applyFont="1" applyBorder="1" applyAlignment="1">
      <alignment/>
    </xf>
    <xf numFmtId="0" fontId="10" fillId="0" borderId="0" xfId="0" applyFont="1" applyAlignment="1">
      <alignment/>
    </xf>
    <xf numFmtId="43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9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43" fontId="7" fillId="0" borderId="0" xfId="48" applyFont="1" applyBorder="1" applyAlignment="1">
      <alignment/>
    </xf>
    <xf numFmtId="43" fontId="3" fillId="0" borderId="0" xfId="48" applyFont="1" applyBorder="1" applyAlignment="1">
      <alignment/>
    </xf>
    <xf numFmtId="0" fontId="11" fillId="0" borderId="0" xfId="0" applyFont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43" fontId="4" fillId="0" borderId="19" xfId="48" applyFont="1" applyBorder="1" applyAlignment="1">
      <alignment/>
    </xf>
    <xf numFmtId="43" fontId="4" fillId="0" borderId="19" xfId="48" applyFont="1" applyBorder="1" applyAlignment="1">
      <alignment horizontal="left"/>
    </xf>
    <xf numFmtId="0" fontId="4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49" fontId="3" fillId="0" borderId="18" xfId="0" applyNumberFormat="1" applyFont="1" applyBorder="1" applyAlignment="1" quotePrefix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3" fillId="0" borderId="10" xfId="48" applyNumberFormat="1" applyFont="1" applyBorder="1" applyAlignment="1">
      <alignment horizontal="right"/>
    </xf>
    <xf numFmtId="4" fontId="3" fillId="0" borderId="19" xfId="48" applyNumberFormat="1" applyFont="1" applyBorder="1" applyAlignment="1">
      <alignment horizontal="right"/>
    </xf>
    <xf numFmtId="4" fontId="4" fillId="0" borderId="19" xfId="48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9" xfId="0" applyFont="1" applyBorder="1" applyAlignment="1">
      <alignment/>
    </xf>
    <xf numFmtId="43" fontId="3" fillId="0" borderId="19" xfId="48" applyFont="1" applyBorder="1" applyAlignment="1">
      <alignment/>
    </xf>
    <xf numFmtId="43" fontId="3" fillId="0" borderId="19" xfId="48" applyFont="1" applyBorder="1" applyAlignment="1">
      <alignment horizontal="left"/>
    </xf>
    <xf numFmtId="0" fontId="3" fillId="0" borderId="19" xfId="0" applyFont="1" applyBorder="1" applyAlignment="1">
      <alignment/>
    </xf>
    <xf numFmtId="0" fontId="4" fillId="0" borderId="30" xfId="0" applyFont="1" applyBorder="1" applyAlignment="1">
      <alignment/>
    </xf>
    <xf numFmtId="0" fontId="12" fillId="0" borderId="0" xfId="0" applyFont="1" applyAlignment="1">
      <alignment/>
    </xf>
    <xf numFmtId="4" fontId="5" fillId="0" borderId="19" xfId="48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49" fontId="5" fillId="0" borderId="10" xfId="48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48" applyNumberFormat="1" applyFont="1" applyBorder="1" applyAlignment="1">
      <alignment horizontal="right" vertical="top"/>
    </xf>
    <xf numFmtId="4" fontId="6" fillId="0" borderId="10" xfId="48" applyNumberFormat="1" applyFont="1" applyBorder="1" applyAlignment="1">
      <alignment horizontal="right" vertical="top"/>
    </xf>
    <xf numFmtId="4" fontId="5" fillId="34" borderId="10" xfId="48" applyNumberFormat="1" applyFont="1" applyFill="1" applyBorder="1" applyAlignment="1">
      <alignment horizontal="right"/>
    </xf>
    <xf numFmtId="43" fontId="4" fillId="0" borderId="0" xfId="48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48" applyNumberFormat="1" applyFont="1" applyAlignment="1">
      <alignment horizontal="right"/>
    </xf>
    <xf numFmtId="200" fontId="4" fillId="0" borderId="0" xfId="48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3" fontId="4" fillId="0" borderId="0" xfId="48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5" fillId="0" borderId="0" xfId="48" applyFont="1" applyBorder="1" applyAlignment="1">
      <alignment horizontal="right" vertical="top" wrapText="1"/>
    </xf>
    <xf numFmtId="43" fontId="5" fillId="0" borderId="0" xfId="48" applyFont="1" applyBorder="1" applyAlignment="1">
      <alignment horizontal="right" vertical="top"/>
    </xf>
    <xf numFmtId="43" fontId="6" fillId="0" borderId="0" xfId="48" applyFont="1" applyBorder="1" applyAlignment="1">
      <alignment horizontal="right" vertical="top"/>
    </xf>
    <xf numFmtId="43" fontId="8" fillId="0" borderId="0" xfId="48" applyFont="1" applyBorder="1" applyAlignment="1">
      <alignment horizontal="right" vertical="top"/>
    </xf>
    <xf numFmtId="43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3" fontId="7" fillId="0" borderId="0" xfId="48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10" fillId="0" borderId="0" xfId="0" applyNumberFormat="1" applyFont="1" applyAlignment="1">
      <alignment horizontal="right"/>
    </xf>
    <xf numFmtId="4" fontId="4" fillId="0" borderId="10" xfId="48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3" fontId="9" fillId="0" borderId="0" xfId="48" applyFont="1" applyBorder="1" applyAlignment="1">
      <alignment horizontal="right"/>
    </xf>
    <xf numFmtId="0" fontId="9" fillId="0" borderId="0" xfId="0" applyFont="1" applyAlignment="1">
      <alignment horizontal="right"/>
    </xf>
    <xf numFmtId="43" fontId="3" fillId="0" borderId="0" xfId="48" applyFont="1" applyBorder="1" applyAlignment="1">
      <alignment horizontal="right"/>
    </xf>
    <xf numFmtId="43" fontId="11" fillId="0" borderId="0" xfId="48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4" fillId="34" borderId="10" xfId="48" applyNumberFormat="1" applyFont="1" applyFill="1" applyBorder="1" applyAlignment="1">
      <alignment horizontal="right"/>
    </xf>
    <xf numFmtId="43" fontId="4" fillId="0" borderId="0" xfId="48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" fontId="4" fillId="0" borderId="10" xfId="48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34" borderId="10" xfId="48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4" fontId="6" fillId="35" borderId="10" xfId="48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5" fillId="35" borderId="10" xfId="48" applyNumberFormat="1" applyFont="1" applyFill="1" applyBorder="1" applyAlignment="1">
      <alignment horizontal="right" vertical="top"/>
    </xf>
    <xf numFmtId="43" fontId="6" fillId="35" borderId="0" xfId="48" applyFont="1" applyFill="1" applyAlignment="1">
      <alignment horizontal="right"/>
    </xf>
    <xf numFmtId="0" fontId="6" fillId="35" borderId="0" xfId="0" applyFont="1" applyFill="1" applyAlignment="1">
      <alignment horizontal="right"/>
    </xf>
    <xf numFmtId="4" fontId="5" fillId="35" borderId="10" xfId="0" applyNumberFormat="1" applyFont="1" applyFill="1" applyBorder="1" applyAlignment="1">
      <alignment horizontal="right" vertical="top" wrapText="1"/>
    </xf>
    <xf numFmtId="4" fontId="6" fillId="35" borderId="10" xfId="48" applyNumberFormat="1" applyFont="1" applyFill="1" applyBorder="1" applyAlignment="1">
      <alignment horizontal="right" vertical="top"/>
    </xf>
    <xf numFmtId="4" fontId="5" fillId="35" borderId="10" xfId="48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6" fillId="35" borderId="10" xfId="48" applyNumberFormat="1" applyFont="1" applyFill="1" applyBorder="1" applyAlignment="1">
      <alignment/>
    </xf>
    <xf numFmtId="4" fontId="5" fillId="35" borderId="10" xfId="48" applyNumberFormat="1" applyFont="1" applyFill="1" applyBorder="1" applyAlignment="1">
      <alignment/>
    </xf>
    <xf numFmtId="4" fontId="6" fillId="35" borderId="19" xfId="48" applyNumberFormat="1" applyFont="1" applyFill="1" applyBorder="1" applyAlignment="1">
      <alignment horizontal="right"/>
    </xf>
    <xf numFmtId="4" fontId="5" fillId="35" borderId="19" xfId="48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3" fillId="35" borderId="15" xfId="0" applyFont="1" applyFill="1" applyBorder="1" applyAlignment="1">
      <alignment horizontal="left"/>
    </xf>
    <xf numFmtId="0" fontId="3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left"/>
    </xf>
    <xf numFmtId="0" fontId="3" fillId="35" borderId="3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3" fontId="6" fillId="7" borderId="0" xfId="48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Border="1" applyAlignment="1">
      <alignment horizontal="right"/>
    </xf>
    <xf numFmtId="4" fontId="5" fillId="7" borderId="10" xfId="48" applyNumberFormat="1" applyFont="1" applyFill="1" applyBorder="1" applyAlignment="1">
      <alignment horizontal="right"/>
    </xf>
    <xf numFmtId="49" fontId="5" fillId="35" borderId="10" xfId="48" applyNumberFormat="1" applyFont="1" applyFill="1" applyBorder="1" applyAlignment="1">
      <alignment horizontal="center" vertical="top" wrapText="1"/>
    </xf>
    <xf numFmtId="4" fontId="13" fillId="7" borderId="19" xfId="48" applyNumberFormat="1" applyFont="1" applyFill="1" applyBorder="1" applyAlignment="1">
      <alignment horizontal="center" wrapText="1"/>
    </xf>
    <xf numFmtId="4" fontId="13" fillId="7" borderId="33" xfId="48" applyNumberFormat="1" applyFont="1" applyFill="1" applyBorder="1" applyAlignment="1">
      <alignment horizontal="center" wrapText="1"/>
    </xf>
    <xf numFmtId="49" fontId="5" fillId="7" borderId="10" xfId="48" applyNumberFormat="1" applyFont="1" applyFill="1" applyBorder="1" applyAlignment="1">
      <alignment horizontal="right" wrapText="1"/>
    </xf>
    <xf numFmtId="4" fontId="5" fillId="7" borderId="10" xfId="0" applyNumberFormat="1" applyFont="1" applyFill="1" applyBorder="1" applyAlignment="1">
      <alignment horizontal="right" wrapText="1"/>
    </xf>
    <xf numFmtId="4" fontId="5" fillId="0" borderId="19" xfId="48" applyNumberFormat="1" applyFont="1" applyBorder="1" applyAlignment="1">
      <alignment horizontal="right" vertical="center" wrapText="1"/>
    </xf>
    <xf numFmtId="4" fontId="5" fillId="0" borderId="33" xfId="48" applyNumberFormat="1" applyFont="1" applyBorder="1" applyAlignment="1">
      <alignment horizontal="right" vertical="center" wrapText="1"/>
    </xf>
    <xf numFmtId="43" fontId="5" fillId="0" borderId="34" xfId="48" applyFont="1" applyBorder="1" applyAlignment="1">
      <alignment horizontal="right" vertical="center" wrapText="1"/>
    </xf>
    <xf numFmtId="49" fontId="5" fillId="0" borderId="35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" fontId="13" fillId="35" borderId="19" xfId="48" applyNumberFormat="1" applyFont="1" applyFill="1" applyBorder="1" applyAlignment="1">
      <alignment horizontal="center" vertical="center" wrapText="1"/>
    </xf>
    <xf numFmtId="4" fontId="13" fillId="35" borderId="33" xfId="48" applyNumberFormat="1" applyFont="1" applyFill="1" applyBorder="1" applyAlignment="1">
      <alignment horizontal="center" vertical="center" wrapText="1"/>
    </xf>
    <xf numFmtId="43" fontId="5" fillId="0" borderId="36" xfId="48" applyFont="1" applyBorder="1" applyAlignment="1">
      <alignment horizontal="center" vertical="center" wrapText="1"/>
    </xf>
    <xf numFmtId="43" fontId="5" fillId="0" borderId="37" xfId="48" applyFont="1" applyBorder="1" applyAlignment="1">
      <alignment horizontal="center" vertical="center" wrapText="1"/>
    </xf>
    <xf numFmtId="43" fontId="5" fillId="0" borderId="35" xfId="48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165</xdr:row>
      <xdr:rowOff>0</xdr:rowOff>
    </xdr:from>
    <xdr:to>
      <xdr:col>0</xdr:col>
      <xdr:colOff>76200</xdr:colOff>
      <xdr:row>165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35705650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Nombre:</a:t>
          </a:r>
        </a:p>
      </xdr:txBody>
    </xdr:sp>
    <xdr:clientData/>
  </xdr:twoCellAnchor>
  <xdr:twoCellAnchor>
    <xdr:from>
      <xdr:col>26</xdr:col>
      <xdr:colOff>3238500</xdr:colOff>
      <xdr:row>170</xdr:row>
      <xdr:rowOff>1209675</xdr:rowOff>
    </xdr:from>
    <xdr:to>
      <xdr:col>26</xdr:col>
      <xdr:colOff>3495675</xdr:colOff>
      <xdr:row>171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18450" y="244011450"/>
          <a:ext cx="257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Rafael Pérez Duvergé</a:t>
          </a:r>
        </a:p>
      </xdr:txBody>
    </xdr:sp>
    <xdr:clientData/>
  </xdr:twoCellAnchor>
  <xdr:twoCellAnchor>
    <xdr:from>
      <xdr:col>0</xdr:col>
      <xdr:colOff>0</xdr:colOff>
      <xdr:row>167</xdr:row>
      <xdr:rowOff>1266825</xdr:rowOff>
    </xdr:from>
    <xdr:to>
      <xdr:col>0</xdr:col>
      <xdr:colOff>152400</xdr:colOff>
      <xdr:row>168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39810925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26</xdr:col>
      <xdr:colOff>5524500</xdr:colOff>
      <xdr:row>169</xdr:row>
      <xdr:rowOff>828675</xdr:rowOff>
    </xdr:from>
    <xdr:to>
      <xdr:col>26</xdr:col>
      <xdr:colOff>5810250</xdr:colOff>
      <xdr:row>169</xdr:row>
      <xdr:rowOff>1066800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8004450" y="2422112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Ejecutivo</a:t>
          </a:r>
        </a:p>
      </xdr:txBody>
    </xdr:sp>
    <xdr:clientData/>
  </xdr:twoCellAnchor>
  <xdr:twoCellAnchor>
    <xdr:from>
      <xdr:col>0</xdr:col>
      <xdr:colOff>28575</xdr:colOff>
      <xdr:row>7</xdr:row>
      <xdr:rowOff>76200</xdr:rowOff>
    </xdr:from>
    <xdr:to>
      <xdr:col>5</xdr:col>
      <xdr:colOff>0</xdr:colOff>
      <xdr:row>9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575" y="10010775"/>
          <a:ext cx="168021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CAPITULO/ DEPENDENCIA:</a:t>
          </a:r>
        </a:p>
      </xdr:txBody>
    </xdr:sp>
    <xdr:clientData/>
  </xdr:twoCellAnchor>
  <xdr:twoCellAnchor>
    <xdr:from>
      <xdr:col>5</xdr:col>
      <xdr:colOff>304800</xdr:colOff>
      <xdr:row>6</xdr:row>
      <xdr:rowOff>190500</xdr:rowOff>
    </xdr:from>
    <xdr:to>
      <xdr:col>25</xdr:col>
      <xdr:colOff>7429500</xdr:colOff>
      <xdr:row>9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135475" y="8705850"/>
          <a:ext cx="162163125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8016" tIns="105156" rIns="0" bIns="0"/>
        <a:p>
          <a:pPr algn="l">
            <a:defRPr/>
          </a:pPr>
          <a:r>
            <a:rPr lang="en-US" cap="none" sz="6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DOMINICANO DE INVESTIGACIONES AGROPECUARIAS Y FORESTALES</a:t>
          </a:r>
        </a:p>
      </xdr:txBody>
    </xdr:sp>
    <xdr:clientData/>
  </xdr:twoCellAnchor>
  <xdr:twoCellAnchor>
    <xdr:from>
      <xdr:col>0</xdr:col>
      <xdr:colOff>2324100</xdr:colOff>
      <xdr:row>9</xdr:row>
      <xdr:rowOff>342900</xdr:rowOff>
    </xdr:from>
    <xdr:to>
      <xdr:col>3</xdr:col>
      <xdr:colOff>2419350</xdr:colOff>
      <xdr:row>10</xdr:row>
      <xdr:rowOff>514350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24100" y="13115925"/>
          <a:ext cx="96869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82</xdr:col>
      <xdr:colOff>190500</xdr:colOff>
      <xdr:row>11</xdr:row>
      <xdr:rowOff>942975</xdr:rowOff>
    </xdr:from>
    <xdr:to>
      <xdr:col>83</xdr:col>
      <xdr:colOff>276225</xdr:colOff>
      <xdr:row>13</xdr:row>
      <xdr:rowOff>876300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31447975" y="16554450"/>
          <a:ext cx="695325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26</xdr:col>
      <xdr:colOff>885825</xdr:colOff>
      <xdr:row>9</xdr:row>
      <xdr:rowOff>1019175</xdr:rowOff>
    </xdr:from>
    <xdr:to>
      <xdr:col>26</xdr:col>
      <xdr:colOff>1647825</xdr:colOff>
      <xdr:row>11</xdr:row>
      <xdr:rowOff>942975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3365775" y="13792200"/>
          <a:ext cx="7620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4495800</xdr:colOff>
      <xdr:row>3</xdr:row>
      <xdr:rowOff>828675</xdr:rowOff>
    </xdr:from>
    <xdr:to>
      <xdr:col>26</xdr:col>
      <xdr:colOff>5724525</xdr:colOff>
      <xdr:row>5</xdr:row>
      <xdr:rowOff>752475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6975750" y="5086350"/>
          <a:ext cx="12192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266700</xdr:colOff>
      <xdr:row>12</xdr:row>
      <xdr:rowOff>190500</xdr:rowOff>
    </xdr:from>
    <xdr:to>
      <xdr:col>5</xdr:col>
      <xdr:colOff>114300</xdr:colOff>
      <xdr:row>14</xdr:row>
      <xdr:rowOff>381000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66700" y="17221200"/>
          <a:ext cx="16678275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5</xdr:col>
      <xdr:colOff>447675</xdr:colOff>
      <xdr:row>12</xdr:row>
      <xdr:rowOff>76200</xdr:rowOff>
    </xdr:from>
    <xdr:to>
      <xdr:col>25</xdr:col>
      <xdr:colOff>19050</xdr:colOff>
      <xdr:row>14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278350" y="17106900"/>
          <a:ext cx="1546098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37160" tIns="109728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de Dirección y Coordinación </a:t>
          </a:r>
        </a:p>
      </xdr:txBody>
    </xdr:sp>
    <xdr:clientData/>
  </xdr:twoCellAnchor>
  <xdr:twoCellAnchor>
    <xdr:from>
      <xdr:col>26</xdr:col>
      <xdr:colOff>3743325</xdr:colOff>
      <xdr:row>12</xdr:row>
      <xdr:rowOff>0</xdr:rowOff>
    </xdr:from>
    <xdr:to>
      <xdr:col>26</xdr:col>
      <xdr:colOff>5848350</xdr:colOff>
      <xdr:row>12</xdr:row>
      <xdr:rowOff>542925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6223275" y="17030700"/>
          <a:ext cx="2105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41148" anchor="b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1143000</xdr:colOff>
      <xdr:row>12</xdr:row>
      <xdr:rowOff>504825</xdr:rowOff>
    </xdr:from>
    <xdr:to>
      <xdr:col>3</xdr:col>
      <xdr:colOff>2476500</xdr:colOff>
      <xdr:row>14</xdr:row>
      <xdr:rowOff>428625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734675" y="17535525"/>
          <a:ext cx="13335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3552825</xdr:colOff>
      <xdr:row>12</xdr:row>
      <xdr:rowOff>638175</xdr:rowOff>
    </xdr:from>
    <xdr:to>
      <xdr:col>3</xdr:col>
      <xdr:colOff>3638550</xdr:colOff>
      <xdr:row>14</xdr:row>
      <xdr:rowOff>561975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144500" y="17668875"/>
          <a:ext cx="857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3</xdr:col>
      <xdr:colOff>161925</xdr:colOff>
      <xdr:row>21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8575" y="29803725"/>
          <a:ext cx="972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5</xdr:col>
      <xdr:colOff>95250</xdr:colOff>
      <xdr:row>17</xdr:row>
      <xdr:rowOff>38100</xdr:rowOff>
    </xdr:from>
    <xdr:to>
      <xdr:col>9</xdr:col>
      <xdr:colOff>0</xdr:colOff>
      <xdr:row>18</xdr:row>
      <xdr:rowOff>171450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6925925" y="24164925"/>
          <a:ext cx="291750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ECONOMICOS: AGROPECUARIO Y PESCA</a:t>
          </a:r>
        </a:p>
      </xdr:txBody>
    </xdr:sp>
    <xdr:clientData/>
  </xdr:twoCellAnchor>
  <xdr:twoCellAnchor>
    <xdr:from>
      <xdr:col>4</xdr:col>
      <xdr:colOff>495300</xdr:colOff>
      <xdr:row>20</xdr:row>
      <xdr:rowOff>76200</xdr:rowOff>
    </xdr:from>
    <xdr:to>
      <xdr:col>5</xdr:col>
      <xdr:colOff>304800</xdr:colOff>
      <xdr:row>22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3725525" y="28460700"/>
          <a:ext cx="34099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6</xdr:col>
      <xdr:colOff>847725</xdr:colOff>
      <xdr:row>21</xdr:row>
      <xdr:rowOff>0</xdr:rowOff>
    </xdr:from>
    <xdr:to>
      <xdr:col>7</xdr:col>
      <xdr:colOff>6534150</xdr:colOff>
      <xdr:row>22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1041975" y="29803725"/>
          <a:ext cx="11830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6</xdr:col>
      <xdr:colOff>742950</xdr:colOff>
      <xdr:row>21</xdr:row>
      <xdr:rowOff>0</xdr:rowOff>
    </xdr:from>
    <xdr:to>
      <xdr:col>7</xdr:col>
      <xdr:colOff>0</xdr:colOff>
      <xdr:row>21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30937200" y="29803725"/>
          <a:ext cx="540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9525</xdr:colOff>
      <xdr:row>21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6433125" y="2980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0</xdr:rowOff>
    </xdr:from>
    <xdr:to>
      <xdr:col>8</xdr:col>
      <xdr:colOff>0</xdr:colOff>
      <xdr:row>21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36595050" y="29803725"/>
          <a:ext cx="627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152400</xdr:rowOff>
    </xdr:from>
    <xdr:to>
      <xdr:col>26</xdr:col>
      <xdr:colOff>0</xdr:colOff>
      <xdr:row>22</xdr:row>
      <xdr:rowOff>66675</xdr:rowOff>
    </xdr:to>
    <xdr:sp>
      <xdr:nvSpPr>
        <xdr:cNvPr id="23" name="Rectangle 23"/>
        <xdr:cNvSpPr>
          <a:spLocks/>
        </xdr:cNvSpPr>
      </xdr:nvSpPr>
      <xdr:spPr>
        <a:xfrm>
          <a:off x="19050" y="5829300"/>
          <a:ext cx="182460900" cy="2546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85725</xdr:rowOff>
    </xdr:from>
    <xdr:to>
      <xdr:col>7</xdr:col>
      <xdr:colOff>0</xdr:colOff>
      <xdr:row>6</xdr:row>
      <xdr:rowOff>133350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0870525" y="7181850"/>
          <a:ext cx="54673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  <xdr:twoCellAnchor>
    <xdr:from>
      <xdr:col>5</xdr:col>
      <xdr:colOff>390525</xdr:colOff>
      <xdr:row>9</xdr:row>
      <xdr:rowOff>190500</xdr:rowOff>
    </xdr:from>
    <xdr:to>
      <xdr:col>8</xdr:col>
      <xdr:colOff>285750</xdr:colOff>
      <xdr:row>11</xdr:row>
      <xdr:rowOff>152400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7221200" y="12963525"/>
          <a:ext cx="259365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342900</xdr:colOff>
      <xdr:row>21</xdr:row>
      <xdr:rowOff>0</xdr:rowOff>
    </xdr:from>
    <xdr:to>
      <xdr:col>4</xdr:col>
      <xdr:colOff>371475</xdr:colOff>
      <xdr:row>21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9934575" y="29803725"/>
          <a:ext cx="366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6830675" y="298037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26</xdr:col>
      <xdr:colOff>4638675</xdr:colOff>
      <xdr:row>162</xdr:row>
      <xdr:rowOff>885825</xdr:rowOff>
    </xdr:from>
    <xdr:to>
      <xdr:col>26</xdr:col>
      <xdr:colOff>4448175</xdr:colOff>
      <xdr:row>167</xdr:row>
      <xdr:rowOff>771525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187118625" y="232333800"/>
          <a:ext cx="0" cy="698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y Sello
</a:t>
          </a:r>
        </a:p>
      </xdr:txBody>
    </xdr:sp>
    <xdr:clientData/>
  </xdr:twoCellAnchor>
  <xdr:twoCellAnchor>
    <xdr:from>
      <xdr:col>0</xdr:col>
      <xdr:colOff>28575</xdr:colOff>
      <xdr:row>16</xdr:row>
      <xdr:rowOff>95250</xdr:rowOff>
    </xdr:from>
    <xdr:to>
      <xdr:col>3</xdr:col>
      <xdr:colOff>400050</xdr:colOff>
      <xdr:row>18</xdr:row>
      <xdr:rowOff>133350</xdr:rowOff>
    </xdr:to>
    <xdr:sp>
      <xdr:nvSpPr>
        <xdr:cNvPr id="29" name="Text Box 37"/>
        <xdr:cNvSpPr txBox="1">
          <a:spLocks noChangeArrowheads="1"/>
        </xdr:cNvSpPr>
      </xdr:nvSpPr>
      <xdr:spPr>
        <a:xfrm>
          <a:off x="28575" y="22802850"/>
          <a:ext cx="996315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26</xdr:col>
      <xdr:colOff>2476500</xdr:colOff>
      <xdr:row>16</xdr:row>
      <xdr:rowOff>704850</xdr:rowOff>
    </xdr:from>
    <xdr:to>
      <xdr:col>26</xdr:col>
      <xdr:colOff>7762875</xdr:colOff>
      <xdr:row>17</xdr:row>
      <xdr:rowOff>781050</xdr:rowOff>
    </xdr:to>
    <xdr:sp>
      <xdr:nvSpPr>
        <xdr:cNvPr id="30" name="Text Box 38"/>
        <xdr:cNvSpPr txBox="1">
          <a:spLocks noChangeArrowheads="1"/>
        </xdr:cNvSpPr>
      </xdr:nvSpPr>
      <xdr:spPr>
        <a:xfrm>
          <a:off x="184956450" y="23412450"/>
          <a:ext cx="52863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27</xdr:col>
      <xdr:colOff>1647825</xdr:colOff>
      <xdr:row>12</xdr:row>
      <xdr:rowOff>571500</xdr:rowOff>
    </xdr:from>
    <xdr:to>
      <xdr:col>35</xdr:col>
      <xdr:colOff>247650</xdr:colOff>
      <xdr:row>13</xdr:row>
      <xdr:rowOff>657225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197291325" y="17602200"/>
          <a:ext cx="55626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3</xdr:col>
      <xdr:colOff>390525</xdr:colOff>
      <xdr:row>21</xdr:row>
      <xdr:rowOff>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28575" y="29803725"/>
          <a:ext cx="995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3" name="Text Box 41"/>
        <xdr:cNvSpPr txBox="1">
          <a:spLocks noChangeArrowheads="1"/>
        </xdr:cNvSpPr>
      </xdr:nvSpPr>
      <xdr:spPr>
        <a:xfrm>
          <a:off x="66675" y="29803725"/>
          <a:ext cx="1321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3</xdr:col>
      <xdr:colOff>409575</xdr:colOff>
      <xdr:row>21</xdr:row>
      <xdr:rowOff>0</xdr:rowOff>
    </xdr:from>
    <xdr:to>
      <xdr:col>4</xdr:col>
      <xdr:colOff>438150</xdr:colOff>
      <xdr:row>21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10001250" y="29803725"/>
          <a:ext cx="366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4</xdr:col>
      <xdr:colOff>19050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13249275" y="29803725"/>
          <a:ext cx="3581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136</xdr:col>
      <xdr:colOff>123825</xdr:colOff>
      <xdr:row>26</xdr:row>
      <xdr:rowOff>371475</xdr:rowOff>
    </xdr:from>
    <xdr:to>
      <xdr:col>144</xdr:col>
      <xdr:colOff>190500</xdr:colOff>
      <xdr:row>27</xdr:row>
      <xdr:rowOff>476250</xdr:rowOff>
    </xdr:to>
    <xdr:sp>
      <xdr:nvSpPr>
        <xdr:cNvPr id="36" name="Text Box 45"/>
        <xdr:cNvSpPr txBox="1">
          <a:spLocks noChangeArrowheads="1"/>
        </xdr:cNvSpPr>
      </xdr:nvSpPr>
      <xdr:spPr>
        <a:xfrm>
          <a:off x="264299700" y="38033325"/>
          <a:ext cx="49434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4</xdr:col>
      <xdr:colOff>628650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13858875" y="29803725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26</xdr:col>
      <xdr:colOff>1400175</xdr:colOff>
      <xdr:row>2</xdr:row>
      <xdr:rowOff>504825</xdr:rowOff>
    </xdr:from>
    <xdr:to>
      <xdr:col>26</xdr:col>
      <xdr:colOff>3390900</xdr:colOff>
      <xdr:row>4</xdr:row>
      <xdr:rowOff>495300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183880125" y="3343275"/>
          <a:ext cx="1990725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695325</xdr:colOff>
      <xdr:row>18</xdr:row>
      <xdr:rowOff>1076325</xdr:rowOff>
    </xdr:from>
    <xdr:to>
      <xdr:col>3</xdr:col>
      <xdr:colOff>2047875</xdr:colOff>
      <xdr:row>19</xdr:row>
      <xdr:rowOff>1276350</xdr:rowOff>
    </xdr:to>
    <xdr:sp>
      <xdr:nvSpPr>
        <xdr:cNvPr id="39" name="Text Box 48"/>
        <xdr:cNvSpPr txBox="1">
          <a:spLocks noChangeArrowheads="1"/>
        </xdr:cNvSpPr>
      </xdr:nvSpPr>
      <xdr:spPr>
        <a:xfrm>
          <a:off x="10287000" y="26622375"/>
          <a:ext cx="13525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390525</xdr:colOff>
      <xdr:row>20</xdr:row>
      <xdr:rowOff>152400</xdr:rowOff>
    </xdr:from>
    <xdr:to>
      <xdr:col>8</xdr:col>
      <xdr:colOff>0</xdr:colOff>
      <xdr:row>21</xdr:row>
      <xdr:rowOff>190500</xdr:rowOff>
    </xdr:to>
    <xdr:sp>
      <xdr:nvSpPr>
        <xdr:cNvPr id="40" name="Text Box 51"/>
        <xdr:cNvSpPr txBox="1">
          <a:spLocks noChangeArrowheads="1"/>
        </xdr:cNvSpPr>
      </xdr:nvSpPr>
      <xdr:spPr>
        <a:xfrm>
          <a:off x="17221200" y="28536900"/>
          <a:ext cx="256508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3</xdr:col>
      <xdr:colOff>2981325</xdr:colOff>
      <xdr:row>18</xdr:row>
      <xdr:rowOff>1143000</xdr:rowOff>
    </xdr:from>
    <xdr:to>
      <xdr:col>4</xdr:col>
      <xdr:colOff>209550</xdr:colOff>
      <xdr:row>19</xdr:row>
      <xdr:rowOff>1333500</xdr:rowOff>
    </xdr:to>
    <xdr:sp>
      <xdr:nvSpPr>
        <xdr:cNvPr id="41" name="Text Box 60"/>
        <xdr:cNvSpPr txBox="1">
          <a:spLocks noChangeArrowheads="1"/>
        </xdr:cNvSpPr>
      </xdr:nvSpPr>
      <xdr:spPr>
        <a:xfrm>
          <a:off x="12573000" y="26689050"/>
          <a:ext cx="8667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676275</xdr:colOff>
      <xdr:row>0</xdr:row>
      <xdr:rowOff>85725</xdr:rowOff>
    </xdr:from>
    <xdr:to>
      <xdr:col>7</xdr:col>
      <xdr:colOff>0</xdr:colOff>
      <xdr:row>4</xdr:row>
      <xdr:rowOff>133350</xdr:rowOff>
    </xdr:to>
    <xdr:sp>
      <xdr:nvSpPr>
        <xdr:cNvPr id="42" name="Text Box 69"/>
        <xdr:cNvSpPr txBox="1">
          <a:spLocks noChangeArrowheads="1"/>
        </xdr:cNvSpPr>
      </xdr:nvSpPr>
      <xdr:spPr>
        <a:xfrm>
          <a:off x="30870525" y="85725"/>
          <a:ext cx="5467350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  <xdr:twoCellAnchor>
    <xdr:from>
      <xdr:col>71</xdr:col>
      <xdr:colOff>504825</xdr:colOff>
      <xdr:row>164</xdr:row>
      <xdr:rowOff>504825</xdr:rowOff>
    </xdr:from>
    <xdr:to>
      <xdr:col>105</xdr:col>
      <xdr:colOff>314325</xdr:colOff>
      <xdr:row>165</xdr:row>
      <xdr:rowOff>1181100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225056700" y="234791250"/>
          <a:ext cx="20535900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Nombre:</a:t>
          </a:r>
        </a:p>
      </xdr:txBody>
    </xdr:sp>
    <xdr:clientData/>
  </xdr:twoCellAnchor>
  <xdr:twoCellAnchor>
    <xdr:from>
      <xdr:col>26</xdr:col>
      <xdr:colOff>4638675</xdr:colOff>
      <xdr:row>170</xdr:row>
      <xdr:rowOff>123825</xdr:rowOff>
    </xdr:from>
    <xdr:to>
      <xdr:col>26</xdr:col>
      <xdr:colOff>5143500</xdr:colOff>
      <xdr:row>170</xdr:row>
      <xdr:rowOff>428625</xdr:rowOff>
    </xdr:to>
    <xdr:sp>
      <xdr:nvSpPr>
        <xdr:cNvPr id="44" name="Text Box 2"/>
        <xdr:cNvSpPr txBox="1">
          <a:spLocks noChangeArrowheads="1"/>
        </xdr:cNvSpPr>
      </xdr:nvSpPr>
      <xdr:spPr>
        <a:xfrm>
          <a:off x="187118625" y="242925600"/>
          <a:ext cx="504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Rafael Pérez Duvergé</a:t>
          </a:r>
        </a:p>
      </xdr:txBody>
    </xdr:sp>
    <xdr:clientData/>
  </xdr:twoCellAnchor>
  <xdr:twoCellAnchor>
    <xdr:from>
      <xdr:col>0</xdr:col>
      <xdr:colOff>0</xdr:colOff>
      <xdr:row>167</xdr:row>
      <xdr:rowOff>1409700</xdr:rowOff>
    </xdr:from>
    <xdr:to>
      <xdr:col>0</xdr:col>
      <xdr:colOff>152400</xdr:colOff>
      <xdr:row>168</xdr:row>
      <xdr:rowOff>19050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0" y="239953800"/>
          <a:ext cx="1524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3</xdr:col>
      <xdr:colOff>3638550</xdr:colOff>
      <xdr:row>168</xdr:row>
      <xdr:rowOff>114300</xdr:rowOff>
    </xdr:from>
    <xdr:to>
      <xdr:col>3</xdr:col>
      <xdr:colOff>3638550</xdr:colOff>
      <xdr:row>168</xdr:row>
      <xdr:rowOff>142875</xdr:rowOff>
    </xdr:to>
    <xdr:sp>
      <xdr:nvSpPr>
        <xdr:cNvPr id="46" name="Text Box 4"/>
        <xdr:cNvSpPr txBox="1">
          <a:spLocks noChangeArrowheads="1"/>
        </xdr:cNvSpPr>
      </xdr:nvSpPr>
      <xdr:spPr>
        <a:xfrm>
          <a:off x="13230225" y="24007762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Ejecutivo</a:t>
          </a:r>
        </a:p>
      </xdr:txBody>
    </xdr:sp>
    <xdr:clientData/>
  </xdr:twoCellAnchor>
  <xdr:twoCellAnchor>
    <xdr:from>
      <xdr:col>0</xdr:col>
      <xdr:colOff>28575</xdr:colOff>
      <xdr:row>6</xdr:row>
      <xdr:rowOff>1333500</xdr:rowOff>
    </xdr:from>
    <xdr:to>
      <xdr:col>2</xdr:col>
      <xdr:colOff>2981325</xdr:colOff>
      <xdr:row>9</xdr:row>
      <xdr:rowOff>133350</xdr:rowOff>
    </xdr:to>
    <xdr:sp>
      <xdr:nvSpPr>
        <xdr:cNvPr id="47" name="Text Box 5"/>
        <xdr:cNvSpPr txBox="1">
          <a:spLocks noChangeArrowheads="1"/>
        </xdr:cNvSpPr>
      </xdr:nvSpPr>
      <xdr:spPr>
        <a:xfrm>
          <a:off x="28575" y="9848850"/>
          <a:ext cx="932497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CAPITULO/ DEPENDENCIA:</a:t>
          </a:r>
        </a:p>
      </xdr:txBody>
    </xdr:sp>
    <xdr:clientData/>
  </xdr:twoCellAnchor>
  <xdr:twoCellAnchor>
    <xdr:from>
      <xdr:col>5</xdr:col>
      <xdr:colOff>304800</xdr:colOff>
      <xdr:row>6</xdr:row>
      <xdr:rowOff>190500</xdr:rowOff>
    </xdr:from>
    <xdr:to>
      <xdr:col>25</xdr:col>
      <xdr:colOff>7429500</xdr:colOff>
      <xdr:row>9</xdr:row>
      <xdr:rowOff>76200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135475" y="8705850"/>
          <a:ext cx="162163125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8016" tIns="105156" rIns="0" bIns="0"/>
        <a:p>
          <a:pPr algn="l">
            <a:defRPr/>
          </a:pPr>
          <a:r>
            <a:rPr lang="en-US" cap="none" sz="6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DOMINICANO DE INVESTIGACIONES AGROPECUARIAS Y FORESTALES</a:t>
          </a:r>
        </a:p>
      </xdr:txBody>
    </xdr:sp>
    <xdr:clientData/>
  </xdr:twoCellAnchor>
  <xdr:twoCellAnchor>
    <xdr:from>
      <xdr:col>0</xdr:col>
      <xdr:colOff>2324100</xdr:colOff>
      <xdr:row>9</xdr:row>
      <xdr:rowOff>342900</xdr:rowOff>
    </xdr:from>
    <xdr:to>
      <xdr:col>3</xdr:col>
      <xdr:colOff>2419350</xdr:colOff>
      <xdr:row>10</xdr:row>
      <xdr:rowOff>514350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2324100" y="13115925"/>
          <a:ext cx="968692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26</xdr:col>
      <xdr:colOff>2476500</xdr:colOff>
      <xdr:row>4</xdr:row>
      <xdr:rowOff>257175</xdr:rowOff>
    </xdr:from>
    <xdr:to>
      <xdr:col>26</xdr:col>
      <xdr:colOff>3171825</xdr:colOff>
      <xdr:row>6</xdr:row>
      <xdr:rowOff>180975</xdr:rowOff>
    </xdr:to>
    <xdr:sp>
      <xdr:nvSpPr>
        <xdr:cNvPr id="50" name="Text Box 8"/>
        <xdr:cNvSpPr txBox="1">
          <a:spLocks noChangeArrowheads="1"/>
        </xdr:cNvSpPr>
      </xdr:nvSpPr>
      <xdr:spPr>
        <a:xfrm>
          <a:off x="184956450" y="5934075"/>
          <a:ext cx="6953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26</xdr:col>
      <xdr:colOff>762000</xdr:colOff>
      <xdr:row>6</xdr:row>
      <xdr:rowOff>1209675</xdr:rowOff>
    </xdr:from>
    <xdr:to>
      <xdr:col>26</xdr:col>
      <xdr:colOff>1514475</xdr:colOff>
      <xdr:row>8</xdr:row>
      <xdr:rowOff>1066800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183241950" y="9725025"/>
          <a:ext cx="76200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3886200</xdr:colOff>
      <xdr:row>5</xdr:row>
      <xdr:rowOff>371475</xdr:rowOff>
    </xdr:from>
    <xdr:to>
      <xdr:col>26</xdr:col>
      <xdr:colOff>5086350</xdr:colOff>
      <xdr:row>7</xdr:row>
      <xdr:rowOff>314325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186366150" y="7467600"/>
          <a:ext cx="12096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266700</xdr:colOff>
      <xdr:row>12</xdr:row>
      <xdr:rowOff>695325</xdr:rowOff>
    </xdr:from>
    <xdr:to>
      <xdr:col>2</xdr:col>
      <xdr:colOff>1019175</xdr:colOff>
      <xdr:row>14</xdr:row>
      <xdr:rowOff>381000</xdr:rowOff>
    </xdr:to>
    <xdr:sp>
      <xdr:nvSpPr>
        <xdr:cNvPr id="53" name="Text Box 11"/>
        <xdr:cNvSpPr txBox="1">
          <a:spLocks noChangeArrowheads="1"/>
        </xdr:cNvSpPr>
      </xdr:nvSpPr>
      <xdr:spPr>
        <a:xfrm>
          <a:off x="266700" y="17726025"/>
          <a:ext cx="71247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5</xdr:col>
      <xdr:colOff>447675</xdr:colOff>
      <xdr:row>12</xdr:row>
      <xdr:rowOff>76200</xdr:rowOff>
    </xdr:from>
    <xdr:to>
      <xdr:col>25</xdr:col>
      <xdr:colOff>19050</xdr:colOff>
      <xdr:row>14</xdr:row>
      <xdr:rowOff>200025</xdr:rowOff>
    </xdr:to>
    <xdr:sp>
      <xdr:nvSpPr>
        <xdr:cNvPr id="54" name="Text Box 12"/>
        <xdr:cNvSpPr txBox="1">
          <a:spLocks noChangeArrowheads="1"/>
        </xdr:cNvSpPr>
      </xdr:nvSpPr>
      <xdr:spPr>
        <a:xfrm>
          <a:off x="17278350" y="17106900"/>
          <a:ext cx="1546098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37160" tIns="109728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de Dirección y Coordinación </a:t>
          </a:r>
        </a:p>
      </xdr:txBody>
    </xdr:sp>
    <xdr:clientData/>
  </xdr:twoCellAnchor>
  <xdr:twoCellAnchor>
    <xdr:from>
      <xdr:col>2</xdr:col>
      <xdr:colOff>3219450</xdr:colOff>
      <xdr:row>13</xdr:row>
      <xdr:rowOff>314325</xdr:rowOff>
    </xdr:from>
    <xdr:to>
      <xdr:col>3</xdr:col>
      <xdr:colOff>857250</xdr:colOff>
      <xdr:row>13</xdr:row>
      <xdr:rowOff>1047750</xdr:rowOff>
    </xdr:to>
    <xdr:sp>
      <xdr:nvSpPr>
        <xdr:cNvPr id="55" name="Text Box 13"/>
        <xdr:cNvSpPr txBox="1">
          <a:spLocks noChangeArrowheads="1"/>
        </xdr:cNvSpPr>
      </xdr:nvSpPr>
      <xdr:spPr>
        <a:xfrm>
          <a:off x="9591675" y="18764250"/>
          <a:ext cx="8572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41148" anchor="b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26</xdr:col>
      <xdr:colOff>2790825</xdr:colOff>
      <xdr:row>19</xdr:row>
      <xdr:rowOff>762000</xdr:rowOff>
    </xdr:from>
    <xdr:to>
      <xdr:col>26</xdr:col>
      <xdr:colOff>4124325</xdr:colOff>
      <xdr:row>21</xdr:row>
      <xdr:rowOff>685800</xdr:rowOff>
    </xdr:to>
    <xdr:sp>
      <xdr:nvSpPr>
        <xdr:cNvPr id="56" name="Text Box 14"/>
        <xdr:cNvSpPr txBox="1">
          <a:spLocks noChangeArrowheads="1"/>
        </xdr:cNvSpPr>
      </xdr:nvSpPr>
      <xdr:spPr>
        <a:xfrm>
          <a:off x="185270775" y="27727275"/>
          <a:ext cx="13335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26</xdr:col>
      <xdr:colOff>1209675</xdr:colOff>
      <xdr:row>15</xdr:row>
      <xdr:rowOff>1019175</xdr:rowOff>
    </xdr:from>
    <xdr:to>
      <xdr:col>26</xdr:col>
      <xdr:colOff>2733675</xdr:colOff>
      <xdr:row>17</xdr:row>
      <xdr:rowOff>942975</xdr:rowOff>
    </xdr:to>
    <xdr:sp>
      <xdr:nvSpPr>
        <xdr:cNvPr id="57" name="Text Box 15"/>
        <xdr:cNvSpPr txBox="1">
          <a:spLocks noChangeArrowheads="1"/>
        </xdr:cNvSpPr>
      </xdr:nvSpPr>
      <xdr:spPr>
        <a:xfrm>
          <a:off x="183689625" y="22307550"/>
          <a:ext cx="153352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3</xdr:col>
      <xdr:colOff>161925</xdr:colOff>
      <xdr:row>21</xdr:row>
      <xdr:rowOff>0</xdr:rowOff>
    </xdr:to>
    <xdr:sp>
      <xdr:nvSpPr>
        <xdr:cNvPr id="58" name="Text Box 16"/>
        <xdr:cNvSpPr txBox="1">
          <a:spLocks noChangeArrowheads="1"/>
        </xdr:cNvSpPr>
      </xdr:nvSpPr>
      <xdr:spPr>
        <a:xfrm>
          <a:off x="28575" y="29803725"/>
          <a:ext cx="972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5</xdr:col>
      <xdr:colOff>95250</xdr:colOff>
      <xdr:row>17</xdr:row>
      <xdr:rowOff>38100</xdr:rowOff>
    </xdr:from>
    <xdr:to>
      <xdr:col>9</xdr:col>
      <xdr:colOff>0</xdr:colOff>
      <xdr:row>18</xdr:row>
      <xdr:rowOff>171450</xdr:rowOff>
    </xdr:to>
    <xdr:sp>
      <xdr:nvSpPr>
        <xdr:cNvPr id="59" name="Text Box 17"/>
        <xdr:cNvSpPr txBox="1">
          <a:spLocks noChangeArrowheads="1"/>
        </xdr:cNvSpPr>
      </xdr:nvSpPr>
      <xdr:spPr>
        <a:xfrm>
          <a:off x="16925925" y="24164925"/>
          <a:ext cx="291750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ECONOMICOS: AGROPECUARIO Y PESCA</a:t>
          </a:r>
        </a:p>
      </xdr:txBody>
    </xdr:sp>
    <xdr:clientData/>
  </xdr:twoCellAnchor>
  <xdr:twoCellAnchor>
    <xdr:from>
      <xdr:col>4</xdr:col>
      <xdr:colOff>495300</xdr:colOff>
      <xdr:row>20</xdr:row>
      <xdr:rowOff>76200</xdr:rowOff>
    </xdr:from>
    <xdr:to>
      <xdr:col>5</xdr:col>
      <xdr:colOff>304800</xdr:colOff>
      <xdr:row>22</xdr:row>
      <xdr:rowOff>0</xdr:rowOff>
    </xdr:to>
    <xdr:sp>
      <xdr:nvSpPr>
        <xdr:cNvPr id="60" name="Text Box 18"/>
        <xdr:cNvSpPr txBox="1">
          <a:spLocks noChangeArrowheads="1"/>
        </xdr:cNvSpPr>
      </xdr:nvSpPr>
      <xdr:spPr>
        <a:xfrm>
          <a:off x="13725525" y="28460700"/>
          <a:ext cx="34099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6</xdr:col>
      <xdr:colOff>847725</xdr:colOff>
      <xdr:row>21</xdr:row>
      <xdr:rowOff>0</xdr:rowOff>
    </xdr:from>
    <xdr:to>
      <xdr:col>7</xdr:col>
      <xdr:colOff>6534150</xdr:colOff>
      <xdr:row>22</xdr:row>
      <xdr:rowOff>0</xdr:rowOff>
    </xdr:to>
    <xdr:sp>
      <xdr:nvSpPr>
        <xdr:cNvPr id="61" name="Text Box 19"/>
        <xdr:cNvSpPr txBox="1">
          <a:spLocks noChangeArrowheads="1"/>
        </xdr:cNvSpPr>
      </xdr:nvSpPr>
      <xdr:spPr>
        <a:xfrm>
          <a:off x="31041975" y="29803725"/>
          <a:ext cx="11830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6</xdr:col>
      <xdr:colOff>742950</xdr:colOff>
      <xdr:row>21</xdr:row>
      <xdr:rowOff>0</xdr:rowOff>
    </xdr:from>
    <xdr:to>
      <xdr:col>7</xdr:col>
      <xdr:colOff>0</xdr:colOff>
      <xdr:row>21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>
          <a:off x="30937200" y="29803725"/>
          <a:ext cx="540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9525</xdr:colOff>
      <xdr:row>21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>
          <a:off x="36433125" y="2980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0</xdr:rowOff>
    </xdr:from>
    <xdr:to>
      <xdr:col>8</xdr:col>
      <xdr:colOff>0</xdr:colOff>
      <xdr:row>21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>
          <a:off x="36595050" y="29803725"/>
          <a:ext cx="627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152400</xdr:rowOff>
    </xdr:from>
    <xdr:to>
      <xdr:col>26</xdr:col>
      <xdr:colOff>0</xdr:colOff>
      <xdr:row>22</xdr:row>
      <xdr:rowOff>66675</xdr:rowOff>
    </xdr:to>
    <xdr:sp>
      <xdr:nvSpPr>
        <xdr:cNvPr id="65" name="Rectangle 23"/>
        <xdr:cNvSpPr>
          <a:spLocks/>
        </xdr:cNvSpPr>
      </xdr:nvSpPr>
      <xdr:spPr>
        <a:xfrm>
          <a:off x="19050" y="5829300"/>
          <a:ext cx="182460900" cy="2546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85725</xdr:rowOff>
    </xdr:from>
    <xdr:to>
      <xdr:col>7</xdr:col>
      <xdr:colOff>0</xdr:colOff>
      <xdr:row>6</xdr:row>
      <xdr:rowOff>133350</xdr:rowOff>
    </xdr:to>
    <xdr:sp>
      <xdr:nvSpPr>
        <xdr:cNvPr id="66" name="Text Box 24"/>
        <xdr:cNvSpPr txBox="1">
          <a:spLocks noChangeArrowheads="1"/>
        </xdr:cNvSpPr>
      </xdr:nvSpPr>
      <xdr:spPr>
        <a:xfrm>
          <a:off x="30870525" y="7181850"/>
          <a:ext cx="54673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  <xdr:twoCellAnchor>
    <xdr:from>
      <xdr:col>5</xdr:col>
      <xdr:colOff>390525</xdr:colOff>
      <xdr:row>9</xdr:row>
      <xdr:rowOff>190500</xdr:rowOff>
    </xdr:from>
    <xdr:to>
      <xdr:col>8</xdr:col>
      <xdr:colOff>285750</xdr:colOff>
      <xdr:row>11</xdr:row>
      <xdr:rowOff>152400</xdr:rowOff>
    </xdr:to>
    <xdr:sp>
      <xdr:nvSpPr>
        <xdr:cNvPr id="67" name="Text Box 25"/>
        <xdr:cNvSpPr txBox="1">
          <a:spLocks noChangeArrowheads="1"/>
        </xdr:cNvSpPr>
      </xdr:nvSpPr>
      <xdr:spPr>
        <a:xfrm>
          <a:off x="17221200" y="12963525"/>
          <a:ext cx="259365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342900</xdr:colOff>
      <xdr:row>21</xdr:row>
      <xdr:rowOff>0</xdr:rowOff>
    </xdr:from>
    <xdr:to>
      <xdr:col>4</xdr:col>
      <xdr:colOff>371475</xdr:colOff>
      <xdr:row>21</xdr:row>
      <xdr:rowOff>0</xdr:rowOff>
    </xdr:to>
    <xdr:sp>
      <xdr:nvSpPr>
        <xdr:cNvPr id="68" name="Text Box 26"/>
        <xdr:cNvSpPr txBox="1">
          <a:spLocks noChangeArrowheads="1"/>
        </xdr:cNvSpPr>
      </xdr:nvSpPr>
      <xdr:spPr>
        <a:xfrm>
          <a:off x="9934575" y="29803725"/>
          <a:ext cx="366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69" name="Text Box 27"/>
        <xdr:cNvSpPr txBox="1">
          <a:spLocks noChangeArrowheads="1"/>
        </xdr:cNvSpPr>
      </xdr:nvSpPr>
      <xdr:spPr>
        <a:xfrm>
          <a:off x="16830675" y="298037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26</xdr:col>
      <xdr:colOff>2857500</xdr:colOff>
      <xdr:row>168</xdr:row>
      <xdr:rowOff>828675</xdr:rowOff>
    </xdr:from>
    <xdr:to>
      <xdr:col>26</xdr:col>
      <xdr:colOff>3495675</xdr:colOff>
      <xdr:row>168</xdr:row>
      <xdr:rowOff>1209675</xdr:rowOff>
    </xdr:to>
    <xdr:sp>
      <xdr:nvSpPr>
        <xdr:cNvPr id="70" name="Text Box 32"/>
        <xdr:cNvSpPr txBox="1">
          <a:spLocks noChangeArrowheads="1"/>
        </xdr:cNvSpPr>
      </xdr:nvSpPr>
      <xdr:spPr>
        <a:xfrm>
          <a:off x="185337450" y="240792000"/>
          <a:ext cx="638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y Sello
</a:t>
          </a:r>
        </a:p>
      </xdr:txBody>
    </xdr:sp>
    <xdr:clientData/>
  </xdr:twoCellAnchor>
  <xdr:twoCellAnchor>
    <xdr:from>
      <xdr:col>0</xdr:col>
      <xdr:colOff>28575</xdr:colOff>
      <xdr:row>16</xdr:row>
      <xdr:rowOff>95250</xdr:rowOff>
    </xdr:from>
    <xdr:to>
      <xdr:col>3</xdr:col>
      <xdr:colOff>400050</xdr:colOff>
      <xdr:row>18</xdr:row>
      <xdr:rowOff>133350</xdr:rowOff>
    </xdr:to>
    <xdr:sp>
      <xdr:nvSpPr>
        <xdr:cNvPr id="71" name="Text Box 37"/>
        <xdr:cNvSpPr txBox="1">
          <a:spLocks noChangeArrowheads="1"/>
        </xdr:cNvSpPr>
      </xdr:nvSpPr>
      <xdr:spPr>
        <a:xfrm>
          <a:off x="28575" y="22802850"/>
          <a:ext cx="996315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26</xdr:col>
      <xdr:colOff>1647825</xdr:colOff>
      <xdr:row>12</xdr:row>
      <xdr:rowOff>0</xdr:rowOff>
    </xdr:from>
    <xdr:to>
      <xdr:col>26</xdr:col>
      <xdr:colOff>6924675</xdr:colOff>
      <xdr:row>13</xdr:row>
      <xdr:rowOff>85725</xdr:rowOff>
    </xdr:to>
    <xdr:sp>
      <xdr:nvSpPr>
        <xdr:cNvPr id="72" name="Text Box 38"/>
        <xdr:cNvSpPr txBox="1">
          <a:spLocks noChangeArrowheads="1"/>
        </xdr:cNvSpPr>
      </xdr:nvSpPr>
      <xdr:spPr>
        <a:xfrm>
          <a:off x="184127775" y="17030700"/>
          <a:ext cx="52863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26</xdr:col>
      <xdr:colOff>1647825</xdr:colOff>
      <xdr:row>13</xdr:row>
      <xdr:rowOff>514350</xdr:rowOff>
    </xdr:from>
    <xdr:to>
      <xdr:col>26</xdr:col>
      <xdr:colOff>7210425</xdr:colOff>
      <xdr:row>14</xdr:row>
      <xdr:rowOff>590550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184127775" y="18964275"/>
          <a:ext cx="55626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3</xdr:col>
      <xdr:colOff>390525</xdr:colOff>
      <xdr:row>21</xdr:row>
      <xdr:rowOff>0</xdr:rowOff>
    </xdr:to>
    <xdr:sp>
      <xdr:nvSpPr>
        <xdr:cNvPr id="74" name="Text Box 40"/>
        <xdr:cNvSpPr txBox="1">
          <a:spLocks noChangeArrowheads="1"/>
        </xdr:cNvSpPr>
      </xdr:nvSpPr>
      <xdr:spPr>
        <a:xfrm>
          <a:off x="28575" y="29803725"/>
          <a:ext cx="995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75" name="Text Box 41"/>
        <xdr:cNvSpPr txBox="1">
          <a:spLocks noChangeArrowheads="1"/>
        </xdr:cNvSpPr>
      </xdr:nvSpPr>
      <xdr:spPr>
        <a:xfrm>
          <a:off x="66675" y="29803725"/>
          <a:ext cx="1321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3</xdr:col>
      <xdr:colOff>409575</xdr:colOff>
      <xdr:row>21</xdr:row>
      <xdr:rowOff>0</xdr:rowOff>
    </xdr:from>
    <xdr:to>
      <xdr:col>4</xdr:col>
      <xdr:colOff>438150</xdr:colOff>
      <xdr:row>21</xdr:row>
      <xdr:rowOff>0</xdr:rowOff>
    </xdr:to>
    <xdr:sp>
      <xdr:nvSpPr>
        <xdr:cNvPr id="76" name="Text Box 42"/>
        <xdr:cNvSpPr txBox="1">
          <a:spLocks noChangeArrowheads="1"/>
        </xdr:cNvSpPr>
      </xdr:nvSpPr>
      <xdr:spPr>
        <a:xfrm>
          <a:off x="10001250" y="29803725"/>
          <a:ext cx="366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4</xdr:col>
      <xdr:colOff>19050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77" name="Text Box 43"/>
        <xdr:cNvSpPr txBox="1">
          <a:spLocks noChangeArrowheads="1"/>
        </xdr:cNvSpPr>
      </xdr:nvSpPr>
      <xdr:spPr>
        <a:xfrm>
          <a:off x="13249275" y="29803725"/>
          <a:ext cx="3581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41</xdr:col>
      <xdr:colOff>381000</xdr:colOff>
      <xdr:row>25</xdr:row>
      <xdr:rowOff>190500</xdr:rowOff>
    </xdr:from>
    <xdr:to>
      <xdr:col>49</xdr:col>
      <xdr:colOff>447675</xdr:colOff>
      <xdr:row>26</xdr:row>
      <xdr:rowOff>285750</xdr:rowOff>
    </xdr:to>
    <xdr:sp>
      <xdr:nvSpPr>
        <xdr:cNvPr id="78" name="Text Box 45"/>
        <xdr:cNvSpPr txBox="1">
          <a:spLocks noChangeArrowheads="1"/>
        </xdr:cNvSpPr>
      </xdr:nvSpPr>
      <xdr:spPr>
        <a:xfrm>
          <a:off x="206644875" y="36433125"/>
          <a:ext cx="49434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4</xdr:col>
      <xdr:colOff>628650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13858875" y="29803725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26</xdr:col>
      <xdr:colOff>3933825</xdr:colOff>
      <xdr:row>8</xdr:row>
      <xdr:rowOff>1143000</xdr:rowOff>
    </xdr:from>
    <xdr:to>
      <xdr:col>26</xdr:col>
      <xdr:colOff>5924550</xdr:colOff>
      <xdr:row>10</xdr:row>
      <xdr:rowOff>1133475</xdr:rowOff>
    </xdr:to>
    <xdr:sp>
      <xdr:nvSpPr>
        <xdr:cNvPr id="80" name="Text Box 47"/>
        <xdr:cNvSpPr txBox="1">
          <a:spLocks noChangeArrowheads="1"/>
        </xdr:cNvSpPr>
      </xdr:nvSpPr>
      <xdr:spPr>
        <a:xfrm>
          <a:off x="186413775" y="12496800"/>
          <a:ext cx="1990725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67</xdr:col>
      <xdr:colOff>609600</xdr:colOff>
      <xdr:row>24</xdr:row>
      <xdr:rowOff>447675</xdr:rowOff>
    </xdr:from>
    <xdr:to>
      <xdr:col>70</xdr:col>
      <xdr:colOff>133350</xdr:colOff>
      <xdr:row>25</xdr:row>
      <xdr:rowOff>647700</xdr:rowOff>
    </xdr:to>
    <xdr:sp>
      <xdr:nvSpPr>
        <xdr:cNvPr id="81" name="Text Box 48"/>
        <xdr:cNvSpPr txBox="1">
          <a:spLocks noChangeArrowheads="1"/>
        </xdr:cNvSpPr>
      </xdr:nvSpPr>
      <xdr:spPr>
        <a:xfrm>
          <a:off x="222723075" y="34509075"/>
          <a:ext cx="13525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390525</xdr:colOff>
      <xdr:row>20</xdr:row>
      <xdr:rowOff>152400</xdr:rowOff>
    </xdr:from>
    <xdr:to>
      <xdr:col>8</xdr:col>
      <xdr:colOff>0</xdr:colOff>
      <xdr:row>21</xdr:row>
      <xdr:rowOff>190500</xdr:rowOff>
    </xdr:to>
    <xdr:sp>
      <xdr:nvSpPr>
        <xdr:cNvPr id="82" name="Text Box 51"/>
        <xdr:cNvSpPr txBox="1">
          <a:spLocks noChangeArrowheads="1"/>
        </xdr:cNvSpPr>
      </xdr:nvSpPr>
      <xdr:spPr>
        <a:xfrm>
          <a:off x="17221200" y="28536900"/>
          <a:ext cx="256508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26</xdr:col>
      <xdr:colOff>2657475</xdr:colOff>
      <xdr:row>17</xdr:row>
      <xdr:rowOff>1266825</xdr:rowOff>
    </xdr:from>
    <xdr:to>
      <xdr:col>26</xdr:col>
      <xdr:colOff>3429000</xdr:colOff>
      <xdr:row>18</xdr:row>
      <xdr:rowOff>228600</xdr:rowOff>
    </xdr:to>
    <xdr:sp>
      <xdr:nvSpPr>
        <xdr:cNvPr id="83" name="Text Box 60"/>
        <xdr:cNvSpPr txBox="1">
          <a:spLocks noChangeArrowheads="1"/>
        </xdr:cNvSpPr>
      </xdr:nvSpPr>
      <xdr:spPr>
        <a:xfrm>
          <a:off x="185137425" y="25393650"/>
          <a:ext cx="771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676275</xdr:colOff>
      <xdr:row>0</xdr:row>
      <xdr:rowOff>85725</xdr:rowOff>
    </xdr:from>
    <xdr:to>
      <xdr:col>7</xdr:col>
      <xdr:colOff>0</xdr:colOff>
      <xdr:row>4</xdr:row>
      <xdr:rowOff>133350</xdr:rowOff>
    </xdr:to>
    <xdr:sp>
      <xdr:nvSpPr>
        <xdr:cNvPr id="84" name="Text Box 69"/>
        <xdr:cNvSpPr txBox="1">
          <a:spLocks noChangeArrowheads="1"/>
        </xdr:cNvSpPr>
      </xdr:nvSpPr>
      <xdr:spPr>
        <a:xfrm>
          <a:off x="30870525" y="85725"/>
          <a:ext cx="5467350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  <xdr:twoCellAnchor>
    <xdr:from>
      <xdr:col>0</xdr:col>
      <xdr:colOff>76200</xdr:colOff>
      <xdr:row>316</xdr:row>
      <xdr:rowOff>857250</xdr:rowOff>
    </xdr:from>
    <xdr:to>
      <xdr:col>2</xdr:col>
      <xdr:colOff>2952750</xdr:colOff>
      <xdr:row>318</xdr:row>
      <xdr:rowOff>114300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76200" y="450865875"/>
          <a:ext cx="92487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Nombre:</a:t>
          </a:r>
        </a:p>
      </xdr:txBody>
    </xdr:sp>
    <xdr:clientData/>
  </xdr:twoCellAnchor>
  <xdr:twoCellAnchor>
    <xdr:from>
      <xdr:col>2</xdr:col>
      <xdr:colOff>3219450</xdr:colOff>
      <xdr:row>316</xdr:row>
      <xdr:rowOff>85725</xdr:rowOff>
    </xdr:from>
    <xdr:to>
      <xdr:col>8</xdr:col>
      <xdr:colOff>0</xdr:colOff>
      <xdr:row>319</xdr:row>
      <xdr:rowOff>9525</xdr:rowOff>
    </xdr:to>
    <xdr:sp>
      <xdr:nvSpPr>
        <xdr:cNvPr id="86" name="Text Box 2"/>
        <xdr:cNvSpPr txBox="1">
          <a:spLocks noChangeArrowheads="1"/>
        </xdr:cNvSpPr>
      </xdr:nvSpPr>
      <xdr:spPr>
        <a:xfrm>
          <a:off x="9591675" y="450094350"/>
          <a:ext cx="33280350" cy="418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Rafael Pérez Duvergé</a:t>
          </a:r>
        </a:p>
      </xdr:txBody>
    </xdr:sp>
    <xdr:clientData/>
  </xdr:twoCellAnchor>
  <xdr:twoCellAnchor>
    <xdr:from>
      <xdr:col>0</xdr:col>
      <xdr:colOff>152400</xdr:colOff>
      <xdr:row>319</xdr:row>
      <xdr:rowOff>114300</xdr:rowOff>
    </xdr:from>
    <xdr:to>
      <xdr:col>3</xdr:col>
      <xdr:colOff>990600</xdr:colOff>
      <xdr:row>321</xdr:row>
      <xdr:rowOff>19050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152400" y="454380600"/>
          <a:ext cx="10429875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0" rIns="0" bIns="137160" anchor="b"/>
        <a:p>
          <a:pPr algn="l">
            <a:defRPr/>
          </a:pPr>
          <a:r>
            <a:rPr lang="en-US" cap="none" sz="9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2</xdr:col>
      <xdr:colOff>3219450</xdr:colOff>
      <xdr:row>319</xdr:row>
      <xdr:rowOff>57150</xdr:rowOff>
    </xdr:from>
    <xdr:to>
      <xdr:col>8</xdr:col>
      <xdr:colOff>0</xdr:colOff>
      <xdr:row>321</xdr:row>
      <xdr:rowOff>142875</xdr:rowOff>
    </xdr:to>
    <xdr:sp>
      <xdr:nvSpPr>
        <xdr:cNvPr id="88" name="Text Box 4"/>
        <xdr:cNvSpPr txBox="1">
          <a:spLocks noChangeArrowheads="1"/>
        </xdr:cNvSpPr>
      </xdr:nvSpPr>
      <xdr:spPr>
        <a:xfrm>
          <a:off x="9591675" y="454323450"/>
          <a:ext cx="33280350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64592" tIns="137160" rIns="0" bIns="0"/>
        <a:p>
          <a:pPr algn="l">
            <a:defRPr/>
          </a:pPr>
          <a:r>
            <a:rPr lang="en-US" cap="none" sz="9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Ejecutivo</a:t>
          </a:r>
        </a:p>
      </xdr:txBody>
    </xdr:sp>
    <xdr:clientData/>
  </xdr:twoCellAnchor>
  <xdr:twoCellAnchor>
    <xdr:from>
      <xdr:col>0</xdr:col>
      <xdr:colOff>0</xdr:colOff>
      <xdr:row>7</xdr:row>
      <xdr:rowOff>314325</xdr:rowOff>
    </xdr:from>
    <xdr:to>
      <xdr:col>2</xdr:col>
      <xdr:colOff>3219450</xdr:colOff>
      <xdr:row>9</xdr:row>
      <xdr:rowOff>123825</xdr:rowOff>
    </xdr:to>
    <xdr:sp>
      <xdr:nvSpPr>
        <xdr:cNvPr id="89" name="Text Box 5"/>
        <xdr:cNvSpPr txBox="1">
          <a:spLocks noChangeArrowheads="1"/>
        </xdr:cNvSpPr>
      </xdr:nvSpPr>
      <xdr:spPr>
        <a:xfrm>
          <a:off x="0" y="10248900"/>
          <a:ext cx="9591675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CAPITULO/ DEPENDENCIA:</a:t>
          </a:r>
        </a:p>
      </xdr:txBody>
    </xdr:sp>
    <xdr:clientData/>
  </xdr:twoCellAnchor>
  <xdr:twoCellAnchor>
    <xdr:from>
      <xdr:col>5</xdr:col>
      <xdr:colOff>304800</xdr:colOff>
      <xdr:row>6</xdr:row>
      <xdr:rowOff>190500</xdr:rowOff>
    </xdr:from>
    <xdr:to>
      <xdr:col>25</xdr:col>
      <xdr:colOff>6753225</xdr:colOff>
      <xdr:row>9</xdr:row>
      <xdr:rowOff>76200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135475" y="8705850"/>
          <a:ext cx="161486850" cy="414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8016" tIns="105156" rIns="0" bIns="0"/>
        <a:p>
          <a:pPr algn="l">
            <a:defRPr/>
          </a:pPr>
          <a:r>
            <a:rPr lang="en-US" cap="none" sz="6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DOMINICANO DE INVESTIGACIONES AGROPECUARIAS Y FORESTALES </a:t>
          </a:r>
        </a:p>
      </xdr:txBody>
    </xdr:sp>
    <xdr:clientData/>
  </xdr:twoCellAnchor>
  <xdr:twoCellAnchor>
    <xdr:from>
      <xdr:col>0</xdr:col>
      <xdr:colOff>2324100</xdr:colOff>
      <xdr:row>9</xdr:row>
      <xdr:rowOff>342900</xdr:rowOff>
    </xdr:from>
    <xdr:to>
      <xdr:col>2</xdr:col>
      <xdr:colOff>2419350</xdr:colOff>
      <xdr:row>10</xdr:row>
      <xdr:rowOff>514350</xdr:rowOff>
    </xdr:to>
    <xdr:sp>
      <xdr:nvSpPr>
        <xdr:cNvPr id="91" name="Text Box 7"/>
        <xdr:cNvSpPr txBox="1">
          <a:spLocks noChangeArrowheads="1"/>
        </xdr:cNvSpPr>
      </xdr:nvSpPr>
      <xdr:spPr>
        <a:xfrm>
          <a:off x="2324100" y="13115925"/>
          <a:ext cx="64674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3219450</xdr:colOff>
      <xdr:row>6</xdr:row>
      <xdr:rowOff>1381125</xdr:rowOff>
    </xdr:from>
    <xdr:to>
      <xdr:col>3</xdr:col>
      <xdr:colOff>523875</xdr:colOff>
      <xdr:row>9</xdr:row>
      <xdr:rowOff>0</xdr:rowOff>
    </xdr:to>
    <xdr:sp>
      <xdr:nvSpPr>
        <xdr:cNvPr id="92" name="Text Box 8"/>
        <xdr:cNvSpPr txBox="1">
          <a:spLocks noChangeArrowheads="1"/>
        </xdr:cNvSpPr>
      </xdr:nvSpPr>
      <xdr:spPr>
        <a:xfrm>
          <a:off x="9591675" y="9896475"/>
          <a:ext cx="5238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647700</xdr:colOff>
      <xdr:row>6</xdr:row>
      <xdr:rowOff>1381125</xdr:rowOff>
    </xdr:from>
    <xdr:to>
      <xdr:col>3</xdr:col>
      <xdr:colOff>1619250</xdr:colOff>
      <xdr:row>8</xdr:row>
      <xdr:rowOff>1343025</xdr:rowOff>
    </xdr:to>
    <xdr:sp>
      <xdr:nvSpPr>
        <xdr:cNvPr id="93" name="Text Box 9"/>
        <xdr:cNvSpPr txBox="1">
          <a:spLocks noChangeArrowheads="1"/>
        </xdr:cNvSpPr>
      </xdr:nvSpPr>
      <xdr:spPr>
        <a:xfrm>
          <a:off x="10239375" y="9896475"/>
          <a:ext cx="97155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1714500</xdr:colOff>
      <xdr:row>7</xdr:row>
      <xdr:rowOff>0</xdr:rowOff>
    </xdr:from>
    <xdr:to>
      <xdr:col>3</xdr:col>
      <xdr:colOff>2762250</xdr:colOff>
      <xdr:row>8</xdr:row>
      <xdr:rowOff>1343025</xdr:rowOff>
    </xdr:to>
    <xdr:sp>
      <xdr:nvSpPr>
        <xdr:cNvPr id="94" name="Text Box 10"/>
        <xdr:cNvSpPr txBox="1">
          <a:spLocks noChangeArrowheads="1"/>
        </xdr:cNvSpPr>
      </xdr:nvSpPr>
      <xdr:spPr>
        <a:xfrm>
          <a:off x="11306175" y="9934575"/>
          <a:ext cx="104775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128</xdr:col>
      <xdr:colOff>123825</xdr:colOff>
      <xdr:row>18</xdr:row>
      <xdr:rowOff>190500</xdr:rowOff>
    </xdr:from>
    <xdr:to>
      <xdr:col>174</xdr:col>
      <xdr:colOff>95250</xdr:colOff>
      <xdr:row>20</xdr:row>
      <xdr:rowOff>0</xdr:rowOff>
    </xdr:to>
    <xdr:sp>
      <xdr:nvSpPr>
        <xdr:cNvPr id="95" name="Text Box 11"/>
        <xdr:cNvSpPr txBox="1">
          <a:spLocks noChangeArrowheads="1"/>
        </xdr:cNvSpPr>
      </xdr:nvSpPr>
      <xdr:spPr>
        <a:xfrm>
          <a:off x="259422900" y="25736550"/>
          <a:ext cx="28013025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5</xdr:col>
      <xdr:colOff>447675</xdr:colOff>
      <xdr:row>12</xdr:row>
      <xdr:rowOff>76200</xdr:rowOff>
    </xdr:from>
    <xdr:to>
      <xdr:col>25</xdr:col>
      <xdr:colOff>19050</xdr:colOff>
      <xdr:row>14</xdr:row>
      <xdr:rowOff>200025</xdr:rowOff>
    </xdr:to>
    <xdr:sp>
      <xdr:nvSpPr>
        <xdr:cNvPr id="96" name="Text Box 12"/>
        <xdr:cNvSpPr txBox="1">
          <a:spLocks noChangeArrowheads="1"/>
        </xdr:cNvSpPr>
      </xdr:nvSpPr>
      <xdr:spPr>
        <a:xfrm>
          <a:off x="17278350" y="17106900"/>
          <a:ext cx="1546098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de Direccion y Coordinacion
</a:t>
          </a:r>
        </a:p>
      </xdr:txBody>
    </xdr:sp>
    <xdr:clientData/>
  </xdr:twoCellAnchor>
  <xdr:twoCellAnchor>
    <xdr:from>
      <xdr:col>26</xdr:col>
      <xdr:colOff>695325</xdr:colOff>
      <xdr:row>12</xdr:row>
      <xdr:rowOff>123825</xdr:rowOff>
    </xdr:from>
    <xdr:to>
      <xdr:col>26</xdr:col>
      <xdr:colOff>3419475</xdr:colOff>
      <xdr:row>12</xdr:row>
      <xdr:rowOff>638175</xdr:rowOff>
    </xdr:to>
    <xdr:sp>
      <xdr:nvSpPr>
        <xdr:cNvPr id="97" name="Text Box 13"/>
        <xdr:cNvSpPr txBox="1">
          <a:spLocks noChangeArrowheads="1"/>
        </xdr:cNvSpPr>
      </xdr:nvSpPr>
      <xdr:spPr>
        <a:xfrm>
          <a:off x="183175275" y="17154525"/>
          <a:ext cx="2724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41148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314325</xdr:colOff>
      <xdr:row>16</xdr:row>
      <xdr:rowOff>1019175</xdr:rowOff>
    </xdr:from>
    <xdr:to>
      <xdr:col>110</xdr:col>
      <xdr:colOff>428625</xdr:colOff>
      <xdr:row>18</xdr:row>
      <xdr:rowOff>942975</xdr:rowOff>
    </xdr:to>
    <xdr:sp>
      <xdr:nvSpPr>
        <xdr:cNvPr id="98" name="Text Box 14"/>
        <xdr:cNvSpPr txBox="1">
          <a:spLocks noChangeArrowheads="1"/>
        </xdr:cNvSpPr>
      </xdr:nvSpPr>
      <xdr:spPr>
        <a:xfrm>
          <a:off x="247421400" y="23726775"/>
          <a:ext cx="1333500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3238500</xdr:colOff>
      <xdr:row>13</xdr:row>
      <xdr:rowOff>1390650</xdr:rowOff>
    </xdr:from>
    <xdr:to>
      <xdr:col>26</xdr:col>
      <xdr:colOff>4752975</xdr:colOff>
      <xdr:row>15</xdr:row>
      <xdr:rowOff>1343025</xdr:rowOff>
    </xdr:to>
    <xdr:sp>
      <xdr:nvSpPr>
        <xdr:cNvPr id="99" name="Text Box 15"/>
        <xdr:cNvSpPr txBox="1">
          <a:spLocks noChangeArrowheads="1"/>
        </xdr:cNvSpPr>
      </xdr:nvSpPr>
      <xdr:spPr>
        <a:xfrm>
          <a:off x="185718450" y="19840575"/>
          <a:ext cx="15144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161925</xdr:colOff>
      <xdr:row>21</xdr:row>
      <xdr:rowOff>0</xdr:rowOff>
    </xdr:to>
    <xdr:sp>
      <xdr:nvSpPr>
        <xdr:cNvPr id="100" name="Text Box 16"/>
        <xdr:cNvSpPr txBox="1">
          <a:spLocks noChangeArrowheads="1"/>
        </xdr:cNvSpPr>
      </xdr:nvSpPr>
      <xdr:spPr>
        <a:xfrm>
          <a:off x="28575" y="29803725"/>
          <a:ext cx="6505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FUNCION:</a:t>
          </a:r>
        </a:p>
      </xdr:txBody>
    </xdr:sp>
    <xdr:clientData/>
  </xdr:twoCellAnchor>
  <xdr:twoCellAnchor>
    <xdr:from>
      <xdr:col>5</xdr:col>
      <xdr:colOff>95250</xdr:colOff>
      <xdr:row>17</xdr:row>
      <xdr:rowOff>38100</xdr:rowOff>
    </xdr:from>
    <xdr:to>
      <xdr:col>9</xdr:col>
      <xdr:colOff>0</xdr:colOff>
      <xdr:row>18</xdr:row>
      <xdr:rowOff>171450</xdr:rowOff>
    </xdr:to>
    <xdr:sp>
      <xdr:nvSpPr>
        <xdr:cNvPr id="101" name="Text Box 17"/>
        <xdr:cNvSpPr txBox="1">
          <a:spLocks noChangeArrowheads="1"/>
        </xdr:cNvSpPr>
      </xdr:nvSpPr>
      <xdr:spPr>
        <a:xfrm>
          <a:off x="16925925" y="24164925"/>
          <a:ext cx="291750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ECONOMICOS: AGROPECUARIA</a:t>
          </a:r>
        </a:p>
      </xdr:txBody>
    </xdr:sp>
    <xdr:clientData/>
  </xdr:twoCellAnchor>
  <xdr:twoCellAnchor>
    <xdr:from>
      <xdr:col>152</xdr:col>
      <xdr:colOff>190500</xdr:colOff>
      <xdr:row>17</xdr:row>
      <xdr:rowOff>504825</xdr:rowOff>
    </xdr:from>
    <xdr:to>
      <xdr:col>170</xdr:col>
      <xdr:colOff>447675</xdr:colOff>
      <xdr:row>19</xdr:row>
      <xdr:rowOff>428625</xdr:rowOff>
    </xdr:to>
    <xdr:sp>
      <xdr:nvSpPr>
        <xdr:cNvPr id="102" name="Text Box 18"/>
        <xdr:cNvSpPr txBox="1">
          <a:spLocks noChangeArrowheads="1"/>
        </xdr:cNvSpPr>
      </xdr:nvSpPr>
      <xdr:spPr>
        <a:xfrm>
          <a:off x="274119975" y="24631650"/>
          <a:ext cx="1122997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0" bIns="77724" anchor="b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6</xdr:col>
      <xdr:colOff>847725</xdr:colOff>
      <xdr:row>21</xdr:row>
      <xdr:rowOff>0</xdr:rowOff>
    </xdr:from>
    <xdr:to>
      <xdr:col>7</xdr:col>
      <xdr:colOff>6534150</xdr:colOff>
      <xdr:row>22</xdr:row>
      <xdr:rowOff>0</xdr:rowOff>
    </xdr:to>
    <xdr:sp>
      <xdr:nvSpPr>
        <xdr:cNvPr id="103" name="Text Box 19"/>
        <xdr:cNvSpPr txBox="1">
          <a:spLocks noChangeArrowheads="1"/>
        </xdr:cNvSpPr>
      </xdr:nvSpPr>
      <xdr:spPr>
        <a:xfrm>
          <a:off x="31041975" y="29803725"/>
          <a:ext cx="118300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6</xdr:col>
      <xdr:colOff>742950</xdr:colOff>
      <xdr:row>21</xdr:row>
      <xdr:rowOff>0</xdr:rowOff>
    </xdr:from>
    <xdr:to>
      <xdr:col>7</xdr:col>
      <xdr:colOff>0</xdr:colOff>
      <xdr:row>21</xdr:row>
      <xdr:rowOff>0</xdr:rowOff>
    </xdr:to>
    <xdr:sp fLocksText="0">
      <xdr:nvSpPr>
        <xdr:cNvPr id="104" name="Text Box 20"/>
        <xdr:cNvSpPr txBox="1">
          <a:spLocks noChangeArrowheads="1"/>
        </xdr:cNvSpPr>
      </xdr:nvSpPr>
      <xdr:spPr>
        <a:xfrm>
          <a:off x="30937200" y="29803725"/>
          <a:ext cx="5400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9525</xdr:colOff>
      <xdr:row>21</xdr:row>
      <xdr:rowOff>0</xdr:rowOff>
    </xdr:to>
    <xdr:sp fLocksText="0">
      <xdr:nvSpPr>
        <xdr:cNvPr id="105" name="Text Box 21"/>
        <xdr:cNvSpPr txBox="1">
          <a:spLocks noChangeArrowheads="1"/>
        </xdr:cNvSpPr>
      </xdr:nvSpPr>
      <xdr:spPr>
        <a:xfrm>
          <a:off x="36433125" y="29803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21</xdr:row>
      <xdr:rowOff>0</xdr:rowOff>
    </xdr:from>
    <xdr:to>
      <xdr:col>8</xdr:col>
      <xdr:colOff>0</xdr:colOff>
      <xdr:row>21</xdr:row>
      <xdr:rowOff>0</xdr:rowOff>
    </xdr:to>
    <xdr:sp fLocksText="0">
      <xdr:nvSpPr>
        <xdr:cNvPr id="106" name="Text Box 22"/>
        <xdr:cNvSpPr txBox="1">
          <a:spLocks noChangeArrowheads="1"/>
        </xdr:cNvSpPr>
      </xdr:nvSpPr>
      <xdr:spPr>
        <a:xfrm>
          <a:off x="36595050" y="29803725"/>
          <a:ext cx="6276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152400</xdr:rowOff>
    </xdr:from>
    <xdr:to>
      <xdr:col>26</xdr:col>
      <xdr:colOff>0</xdr:colOff>
      <xdr:row>22</xdr:row>
      <xdr:rowOff>66675</xdr:rowOff>
    </xdr:to>
    <xdr:sp>
      <xdr:nvSpPr>
        <xdr:cNvPr id="107" name="Rectangle 23"/>
        <xdr:cNvSpPr>
          <a:spLocks/>
        </xdr:cNvSpPr>
      </xdr:nvSpPr>
      <xdr:spPr>
        <a:xfrm>
          <a:off x="19050" y="5829300"/>
          <a:ext cx="182460900" cy="2546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5</xdr:row>
      <xdr:rowOff>85725</xdr:rowOff>
    </xdr:from>
    <xdr:to>
      <xdr:col>7</xdr:col>
      <xdr:colOff>0</xdr:colOff>
      <xdr:row>6</xdr:row>
      <xdr:rowOff>133350</xdr:rowOff>
    </xdr:to>
    <xdr:sp>
      <xdr:nvSpPr>
        <xdr:cNvPr id="108" name="Text Box 24"/>
        <xdr:cNvSpPr txBox="1">
          <a:spLocks noChangeArrowheads="1"/>
        </xdr:cNvSpPr>
      </xdr:nvSpPr>
      <xdr:spPr>
        <a:xfrm>
          <a:off x="30870525" y="7181850"/>
          <a:ext cx="54673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  <xdr:twoCellAnchor>
    <xdr:from>
      <xdr:col>5</xdr:col>
      <xdr:colOff>390525</xdr:colOff>
      <xdr:row>9</xdr:row>
      <xdr:rowOff>190500</xdr:rowOff>
    </xdr:from>
    <xdr:to>
      <xdr:col>8</xdr:col>
      <xdr:colOff>285750</xdr:colOff>
      <xdr:row>11</xdr:row>
      <xdr:rowOff>152400</xdr:rowOff>
    </xdr:to>
    <xdr:sp>
      <xdr:nvSpPr>
        <xdr:cNvPr id="109" name="Text Box 25"/>
        <xdr:cNvSpPr txBox="1">
          <a:spLocks noChangeArrowheads="1"/>
        </xdr:cNvSpPr>
      </xdr:nvSpPr>
      <xdr:spPr>
        <a:xfrm>
          <a:off x="17221200" y="12963525"/>
          <a:ext cx="25936575" cy="280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2</xdr:col>
      <xdr:colOff>342900</xdr:colOff>
      <xdr:row>21</xdr:row>
      <xdr:rowOff>0</xdr:rowOff>
    </xdr:from>
    <xdr:to>
      <xdr:col>3</xdr:col>
      <xdr:colOff>371475</xdr:colOff>
      <xdr:row>21</xdr:row>
      <xdr:rowOff>0</xdr:rowOff>
    </xdr:to>
    <xdr:sp>
      <xdr:nvSpPr>
        <xdr:cNvPr id="110" name="Text Box 26"/>
        <xdr:cNvSpPr txBox="1">
          <a:spLocks noChangeArrowheads="1"/>
        </xdr:cNvSpPr>
      </xdr:nvSpPr>
      <xdr:spPr>
        <a:xfrm>
          <a:off x="6715125" y="29803725"/>
          <a:ext cx="324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111" name="Text Box 27"/>
        <xdr:cNvSpPr txBox="1">
          <a:spLocks noChangeArrowheads="1"/>
        </xdr:cNvSpPr>
      </xdr:nvSpPr>
      <xdr:spPr>
        <a:xfrm>
          <a:off x="16830675" y="298037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28575</xdr:colOff>
      <xdr:row>16</xdr:row>
      <xdr:rowOff>95250</xdr:rowOff>
    </xdr:from>
    <xdr:to>
      <xdr:col>2</xdr:col>
      <xdr:colOff>400050</xdr:colOff>
      <xdr:row>18</xdr:row>
      <xdr:rowOff>133350</xdr:rowOff>
    </xdr:to>
    <xdr:sp>
      <xdr:nvSpPr>
        <xdr:cNvPr id="112" name="Text Box 37"/>
        <xdr:cNvSpPr txBox="1">
          <a:spLocks noChangeArrowheads="1"/>
        </xdr:cNvSpPr>
      </xdr:nvSpPr>
      <xdr:spPr>
        <a:xfrm>
          <a:off x="28575" y="22802850"/>
          <a:ext cx="67437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0" bIns="59436" anchor="b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2</xdr:col>
      <xdr:colOff>361950</xdr:colOff>
      <xdr:row>17</xdr:row>
      <xdr:rowOff>76200</xdr:rowOff>
    </xdr:from>
    <xdr:to>
      <xdr:col>3</xdr:col>
      <xdr:colOff>361950</xdr:colOff>
      <xdr:row>18</xdr:row>
      <xdr:rowOff>161925</xdr:rowOff>
    </xdr:to>
    <xdr:sp>
      <xdr:nvSpPr>
        <xdr:cNvPr id="113" name="Text Box 38"/>
        <xdr:cNvSpPr txBox="1">
          <a:spLocks noChangeArrowheads="1"/>
        </xdr:cNvSpPr>
      </xdr:nvSpPr>
      <xdr:spPr>
        <a:xfrm>
          <a:off x="6734175" y="24203025"/>
          <a:ext cx="32194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1971675</xdr:colOff>
      <xdr:row>16</xdr:row>
      <xdr:rowOff>1333500</xdr:rowOff>
    </xdr:from>
    <xdr:to>
      <xdr:col>4</xdr:col>
      <xdr:colOff>3600450</xdr:colOff>
      <xdr:row>18</xdr:row>
      <xdr:rowOff>180975</xdr:rowOff>
    </xdr:to>
    <xdr:sp>
      <xdr:nvSpPr>
        <xdr:cNvPr id="114" name="Text Box 39"/>
        <xdr:cNvSpPr txBox="1">
          <a:spLocks noChangeArrowheads="1"/>
        </xdr:cNvSpPr>
      </xdr:nvSpPr>
      <xdr:spPr>
        <a:xfrm>
          <a:off x="11563350" y="24041100"/>
          <a:ext cx="52673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390525</xdr:colOff>
      <xdr:row>21</xdr:row>
      <xdr:rowOff>0</xdr:rowOff>
    </xdr:to>
    <xdr:sp>
      <xdr:nvSpPr>
        <xdr:cNvPr id="115" name="Text Box 40"/>
        <xdr:cNvSpPr txBox="1">
          <a:spLocks noChangeArrowheads="1"/>
        </xdr:cNvSpPr>
      </xdr:nvSpPr>
      <xdr:spPr>
        <a:xfrm>
          <a:off x="28575" y="29803725"/>
          <a:ext cx="673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21</xdr:row>
      <xdr:rowOff>0</xdr:rowOff>
    </xdr:from>
    <xdr:to>
      <xdr:col>3</xdr:col>
      <xdr:colOff>47625</xdr:colOff>
      <xdr:row>21</xdr:row>
      <xdr:rowOff>0</xdr:rowOff>
    </xdr:to>
    <xdr:sp>
      <xdr:nvSpPr>
        <xdr:cNvPr id="116" name="Text Box 41"/>
        <xdr:cNvSpPr txBox="1">
          <a:spLocks noChangeArrowheads="1"/>
        </xdr:cNvSpPr>
      </xdr:nvSpPr>
      <xdr:spPr>
        <a:xfrm>
          <a:off x="66675" y="29803725"/>
          <a:ext cx="957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2</xdr:col>
      <xdr:colOff>409575</xdr:colOff>
      <xdr:row>21</xdr:row>
      <xdr:rowOff>0</xdr:rowOff>
    </xdr:from>
    <xdr:to>
      <xdr:col>3</xdr:col>
      <xdr:colOff>438150</xdr:colOff>
      <xdr:row>21</xdr:row>
      <xdr:rowOff>0</xdr:rowOff>
    </xdr:to>
    <xdr:sp>
      <xdr:nvSpPr>
        <xdr:cNvPr id="117" name="Text Box 42"/>
        <xdr:cNvSpPr txBox="1">
          <a:spLocks noChangeArrowheads="1"/>
        </xdr:cNvSpPr>
      </xdr:nvSpPr>
      <xdr:spPr>
        <a:xfrm>
          <a:off x="6781800" y="29803725"/>
          <a:ext cx="324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3638550</xdr:colOff>
      <xdr:row>21</xdr:row>
      <xdr:rowOff>0</xdr:rowOff>
    </xdr:to>
    <xdr:sp>
      <xdr:nvSpPr>
        <xdr:cNvPr id="118" name="Text Box 43"/>
        <xdr:cNvSpPr txBox="1">
          <a:spLocks noChangeArrowheads="1"/>
        </xdr:cNvSpPr>
      </xdr:nvSpPr>
      <xdr:spPr>
        <a:xfrm>
          <a:off x="9610725" y="29803725"/>
          <a:ext cx="361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342900</xdr:colOff>
      <xdr:row>19</xdr:row>
      <xdr:rowOff>19050</xdr:rowOff>
    </xdr:from>
    <xdr:to>
      <xdr:col>3</xdr:col>
      <xdr:colOff>0</xdr:colOff>
      <xdr:row>20</xdr:row>
      <xdr:rowOff>114300</xdr:rowOff>
    </xdr:to>
    <xdr:sp>
      <xdr:nvSpPr>
        <xdr:cNvPr id="119" name="Text Box 45"/>
        <xdr:cNvSpPr txBox="1">
          <a:spLocks noChangeArrowheads="1"/>
        </xdr:cNvSpPr>
      </xdr:nvSpPr>
      <xdr:spPr>
        <a:xfrm>
          <a:off x="6715125" y="26984325"/>
          <a:ext cx="28765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628650</xdr:colOff>
      <xdr:row>21</xdr:row>
      <xdr:rowOff>0</xdr:rowOff>
    </xdr:from>
    <xdr:to>
      <xdr:col>5</xdr:col>
      <xdr:colOff>133350</xdr:colOff>
      <xdr:row>21</xdr:row>
      <xdr:rowOff>0</xdr:rowOff>
    </xdr:to>
    <xdr:sp>
      <xdr:nvSpPr>
        <xdr:cNvPr id="120" name="Text Box 46"/>
        <xdr:cNvSpPr txBox="1">
          <a:spLocks noChangeArrowheads="1"/>
        </xdr:cNvSpPr>
      </xdr:nvSpPr>
      <xdr:spPr>
        <a:xfrm>
          <a:off x="10220325" y="29803725"/>
          <a:ext cx="674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2952750</xdr:colOff>
      <xdr:row>6</xdr:row>
      <xdr:rowOff>1381125</xdr:rowOff>
    </xdr:from>
    <xdr:to>
      <xdr:col>3</xdr:col>
      <xdr:colOff>3638550</xdr:colOff>
      <xdr:row>8</xdr:row>
      <xdr:rowOff>1314450</xdr:rowOff>
    </xdr:to>
    <xdr:sp>
      <xdr:nvSpPr>
        <xdr:cNvPr id="121" name="Text Box 47"/>
        <xdr:cNvSpPr txBox="1">
          <a:spLocks noChangeArrowheads="1"/>
        </xdr:cNvSpPr>
      </xdr:nvSpPr>
      <xdr:spPr>
        <a:xfrm>
          <a:off x="12544425" y="9896475"/>
          <a:ext cx="6858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26</xdr:col>
      <xdr:colOff>3743325</xdr:colOff>
      <xdr:row>22</xdr:row>
      <xdr:rowOff>257175</xdr:rowOff>
    </xdr:from>
    <xdr:to>
      <xdr:col>26</xdr:col>
      <xdr:colOff>5086350</xdr:colOff>
      <xdr:row>23</xdr:row>
      <xdr:rowOff>447675</xdr:rowOff>
    </xdr:to>
    <xdr:sp>
      <xdr:nvSpPr>
        <xdr:cNvPr id="122" name="Text Box 48"/>
        <xdr:cNvSpPr txBox="1">
          <a:spLocks noChangeArrowheads="1"/>
        </xdr:cNvSpPr>
      </xdr:nvSpPr>
      <xdr:spPr>
        <a:xfrm>
          <a:off x="186223275" y="31480125"/>
          <a:ext cx="13525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390525</xdr:colOff>
      <xdr:row>20</xdr:row>
      <xdr:rowOff>152400</xdr:rowOff>
    </xdr:from>
    <xdr:to>
      <xdr:col>8</xdr:col>
      <xdr:colOff>0</xdr:colOff>
      <xdr:row>21</xdr:row>
      <xdr:rowOff>190500</xdr:rowOff>
    </xdr:to>
    <xdr:sp>
      <xdr:nvSpPr>
        <xdr:cNvPr id="123" name="Text Box 51"/>
        <xdr:cNvSpPr txBox="1">
          <a:spLocks noChangeArrowheads="1"/>
        </xdr:cNvSpPr>
      </xdr:nvSpPr>
      <xdr:spPr>
        <a:xfrm>
          <a:off x="17221200" y="28536900"/>
          <a:ext cx="256508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26</xdr:col>
      <xdr:colOff>2028825</xdr:colOff>
      <xdr:row>26</xdr:row>
      <xdr:rowOff>314325</xdr:rowOff>
    </xdr:from>
    <xdr:to>
      <xdr:col>26</xdr:col>
      <xdr:colOff>4457700</xdr:colOff>
      <xdr:row>27</xdr:row>
      <xdr:rowOff>495300</xdr:rowOff>
    </xdr:to>
    <xdr:sp>
      <xdr:nvSpPr>
        <xdr:cNvPr id="124" name="Text Box 60"/>
        <xdr:cNvSpPr txBox="1">
          <a:spLocks noChangeArrowheads="1"/>
        </xdr:cNvSpPr>
      </xdr:nvSpPr>
      <xdr:spPr>
        <a:xfrm>
          <a:off x="184508775" y="37976175"/>
          <a:ext cx="2428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73152" anchor="b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676275</xdr:colOff>
      <xdr:row>0</xdr:row>
      <xdr:rowOff>85725</xdr:rowOff>
    </xdr:from>
    <xdr:to>
      <xdr:col>7</xdr:col>
      <xdr:colOff>0</xdr:colOff>
      <xdr:row>4</xdr:row>
      <xdr:rowOff>133350</xdr:rowOff>
    </xdr:to>
    <xdr:sp>
      <xdr:nvSpPr>
        <xdr:cNvPr id="125" name="Text Box 69"/>
        <xdr:cNvSpPr txBox="1">
          <a:spLocks noChangeArrowheads="1"/>
        </xdr:cNvSpPr>
      </xdr:nvSpPr>
      <xdr:spPr>
        <a:xfrm>
          <a:off x="30870525" y="85725"/>
          <a:ext cx="5467350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44"/>
  <sheetViews>
    <sheetView tabSelected="1" view="pageBreakPreview" zoomScale="10" zoomScaleSheetLayoutView="10" workbookViewId="0" topLeftCell="A25">
      <selection activeCell="L34" sqref="L34"/>
    </sheetView>
  </sheetViews>
  <sheetFormatPr defaultColWidth="9.140625" defaultRowHeight="111.75" customHeight="1"/>
  <cols>
    <col min="1" max="1" width="53.00390625" style="4" customWidth="1"/>
    <col min="2" max="2" width="42.57421875" style="4" customWidth="1"/>
    <col min="3" max="3" width="48.28125" style="81" customWidth="1"/>
    <col min="4" max="4" width="54.57421875" style="4" customWidth="1"/>
    <col min="5" max="5" width="54.00390625" style="4" customWidth="1"/>
    <col min="6" max="6" width="200.421875" style="4" customWidth="1"/>
    <col min="7" max="7" width="92.140625" style="4" customWidth="1"/>
    <col min="8" max="8" width="98.00390625" style="4" customWidth="1"/>
    <col min="9" max="9" width="48.421875" style="3" customWidth="1"/>
    <col min="10" max="12" width="122.7109375" style="136" customWidth="1"/>
    <col min="13" max="13" width="122.7109375" style="152" customWidth="1"/>
    <col min="14" max="25" width="116.28125" style="96" customWidth="1"/>
    <col min="26" max="26" width="159.140625" style="98" customWidth="1"/>
    <col min="27" max="27" width="197.421875" style="96" customWidth="1"/>
    <col min="28" max="28" width="26.8515625" style="96" customWidth="1"/>
    <col min="29" max="29" width="19.421875" style="97" customWidth="1"/>
    <col min="30" max="30" width="12.421875" style="97" customWidth="1"/>
    <col min="31" max="16384" width="9.140625" style="4" customWidth="1"/>
  </cols>
  <sheetData>
    <row r="1" spans="1:27" ht="111.75" customHeight="1">
      <c r="A1" s="181" t="s">
        <v>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5"/>
    </row>
    <row r="2" spans="1:26" ht="111.75" customHeight="1">
      <c r="A2" s="1"/>
      <c r="B2" s="1"/>
      <c r="C2" s="181" t="s">
        <v>69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11.75" customHeight="1">
      <c r="A3" s="181" t="s">
        <v>67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11.75" customHeight="1">
      <c r="A4" s="182" t="s">
        <v>71</v>
      </c>
      <c r="B4" s="18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7" ht="111.75" customHeight="1">
      <c r="A5" s="36"/>
      <c r="B5" s="36"/>
      <c r="C5" s="1"/>
      <c r="D5" s="36"/>
      <c r="F5" s="182"/>
      <c r="G5" s="182"/>
    </row>
    <row r="6" spans="1:8" ht="111.75" customHeight="1">
      <c r="A6" s="181"/>
      <c r="B6" s="181"/>
      <c r="C6" s="181"/>
      <c r="D6" s="181"/>
      <c r="E6" s="181"/>
      <c r="F6" s="181"/>
      <c r="G6" s="181"/>
      <c r="H6" s="181"/>
    </row>
    <row r="7" spans="1:4" ht="111.75" customHeight="1">
      <c r="A7" s="36"/>
      <c r="B7" s="36"/>
      <c r="C7" s="1"/>
      <c r="D7" s="36"/>
    </row>
    <row r="8" spans="1:4" ht="111.75" customHeight="1">
      <c r="A8" s="41"/>
      <c r="B8" s="41"/>
      <c r="C8" s="1"/>
      <c r="D8" s="36"/>
    </row>
    <row r="9" spans="1:8" ht="111.75" customHeight="1">
      <c r="A9" s="41"/>
      <c r="B9" s="41"/>
      <c r="C9" s="1"/>
      <c r="D9" s="42"/>
      <c r="E9" s="42"/>
      <c r="H9" s="36"/>
    </row>
    <row r="10" spans="1:4" ht="111.75" customHeight="1">
      <c r="A10" s="36"/>
      <c r="B10" s="36"/>
      <c r="C10" s="1"/>
      <c r="D10" s="36"/>
    </row>
    <row r="11" spans="1:7" ht="111.75" customHeight="1">
      <c r="A11" s="36"/>
      <c r="B11" s="36"/>
      <c r="C11" s="1"/>
      <c r="D11" s="36"/>
      <c r="G11" s="36"/>
    </row>
    <row r="12" spans="1:4" ht="111.75" customHeight="1">
      <c r="A12" s="36"/>
      <c r="B12" s="36"/>
      <c r="C12" s="1"/>
      <c r="D12" s="36"/>
    </row>
    <row r="13" spans="1:5" ht="111.75" customHeight="1">
      <c r="A13" s="36"/>
      <c r="B13" s="36"/>
      <c r="C13" s="1"/>
      <c r="D13" s="42"/>
      <c r="E13" s="42"/>
    </row>
    <row r="14" spans="1:4" ht="111.75" customHeight="1">
      <c r="A14" s="36"/>
      <c r="B14" s="36"/>
      <c r="C14" s="1"/>
      <c r="D14" s="36"/>
    </row>
    <row r="15" spans="1:27" ht="111.75" customHeight="1">
      <c r="A15" s="36"/>
      <c r="B15" s="36"/>
      <c r="C15" s="1"/>
      <c r="D15" s="42"/>
      <c r="E15" s="42"/>
      <c r="AA15" s="99"/>
    </row>
    <row r="16" spans="1:4" ht="111.75" customHeight="1">
      <c r="A16" s="36"/>
      <c r="B16" s="36"/>
      <c r="C16" s="1"/>
      <c r="D16" s="36"/>
    </row>
    <row r="17" spans="1:26" ht="111.75" customHeight="1">
      <c r="A17" s="41"/>
      <c r="B17" s="41"/>
      <c r="C17" s="1"/>
      <c r="D17" s="36"/>
      <c r="I17" s="4"/>
      <c r="J17" s="137"/>
      <c r="K17" s="137"/>
      <c r="L17" s="137"/>
      <c r="M17" s="153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0"/>
    </row>
    <row r="18" spans="1:26" ht="111.75" customHeight="1">
      <c r="A18" s="41"/>
      <c r="B18" s="41"/>
      <c r="C18" s="1"/>
      <c r="D18" s="42"/>
      <c r="E18" s="42"/>
      <c r="H18" s="36"/>
      <c r="I18" s="4"/>
      <c r="J18" s="137"/>
      <c r="K18" s="137"/>
      <c r="L18" s="137"/>
      <c r="M18" s="153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</row>
    <row r="19" spans="1:26" ht="111.75" customHeight="1">
      <c r="A19" s="36"/>
      <c r="B19" s="36"/>
      <c r="C19" s="1"/>
      <c r="D19" s="36"/>
      <c r="I19" s="4"/>
      <c r="J19" s="137"/>
      <c r="K19" s="137"/>
      <c r="L19" s="137"/>
      <c r="M19" s="153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100"/>
    </row>
    <row r="20" spans="1:26" ht="111.75" customHeight="1">
      <c r="A20" s="36"/>
      <c r="B20" s="36"/>
      <c r="C20" s="1"/>
      <c r="D20" s="36"/>
      <c r="G20" s="36"/>
      <c r="I20" s="4"/>
      <c r="J20" s="137"/>
      <c r="K20" s="137"/>
      <c r="L20" s="137"/>
      <c r="M20" s="153"/>
      <c r="N20" s="101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00"/>
    </row>
    <row r="21" spans="1:26" ht="111.75" customHeight="1">
      <c r="A21" s="36"/>
      <c r="B21" s="36"/>
      <c r="C21" s="1"/>
      <c r="D21" s="36"/>
      <c r="I21" s="4"/>
      <c r="J21" s="137"/>
      <c r="K21" s="137"/>
      <c r="L21" s="137"/>
      <c r="M21" s="153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</row>
    <row r="22" spans="1:8" ht="111.75" customHeight="1">
      <c r="A22" s="36"/>
      <c r="B22" s="36"/>
      <c r="C22" s="1"/>
      <c r="D22" s="36"/>
      <c r="H22" s="43"/>
    </row>
    <row r="23" spans="1:4" ht="111.75" customHeight="1" thickBot="1">
      <c r="A23" s="36"/>
      <c r="B23" s="36"/>
      <c r="C23" s="1"/>
      <c r="D23" s="36"/>
    </row>
    <row r="24" spans="1:29" ht="111.75" customHeight="1">
      <c r="A24" s="172" t="s">
        <v>3</v>
      </c>
      <c r="B24" s="173"/>
      <c r="C24" s="173"/>
      <c r="D24" s="174"/>
      <c r="E24" s="50"/>
      <c r="F24" s="178" t="s">
        <v>4</v>
      </c>
      <c r="G24" s="178" t="s">
        <v>8</v>
      </c>
      <c r="H24" s="178" t="s">
        <v>9</v>
      </c>
      <c r="I24" s="169" t="s">
        <v>68</v>
      </c>
      <c r="J24" s="167" t="s">
        <v>308</v>
      </c>
      <c r="K24" s="167" t="s">
        <v>310</v>
      </c>
      <c r="L24" s="167" t="s">
        <v>309</v>
      </c>
      <c r="M24" s="157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3"/>
      <c r="AB24" s="102"/>
      <c r="AC24" s="103"/>
    </row>
    <row r="25" spans="1:29" ht="171.75" customHeight="1">
      <c r="A25" s="175"/>
      <c r="B25" s="176"/>
      <c r="C25" s="176"/>
      <c r="D25" s="177"/>
      <c r="E25" s="51"/>
      <c r="F25" s="179"/>
      <c r="G25" s="179"/>
      <c r="H25" s="179"/>
      <c r="I25" s="170"/>
      <c r="J25" s="168"/>
      <c r="K25" s="168"/>
      <c r="L25" s="168"/>
      <c r="M25" s="158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3"/>
      <c r="AB25" s="102"/>
      <c r="AC25" s="103"/>
    </row>
    <row r="26" spans="1:29" ht="111.75" customHeight="1" thickBot="1">
      <c r="A26" s="164"/>
      <c r="B26" s="165"/>
      <c r="C26" s="165"/>
      <c r="D26" s="166"/>
      <c r="E26" s="52"/>
      <c r="F26" s="180"/>
      <c r="G26" s="10"/>
      <c r="H26" s="11"/>
      <c r="I26" s="171"/>
      <c r="J26" s="156" t="s">
        <v>303</v>
      </c>
      <c r="K26" s="156" t="s">
        <v>303</v>
      </c>
      <c r="L26" s="156" t="s">
        <v>303</v>
      </c>
      <c r="M26" s="159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104"/>
      <c r="AB26" s="102"/>
      <c r="AC26" s="103"/>
    </row>
    <row r="27" spans="1:29" ht="111.75" customHeight="1">
      <c r="A27" s="53" t="s">
        <v>72</v>
      </c>
      <c r="B27" s="53" t="s">
        <v>5</v>
      </c>
      <c r="C27" s="53" t="s">
        <v>6</v>
      </c>
      <c r="D27" s="54" t="s">
        <v>7</v>
      </c>
      <c r="E27" s="55" t="s">
        <v>73</v>
      </c>
      <c r="F27" s="12"/>
      <c r="G27" s="13" t="s">
        <v>0</v>
      </c>
      <c r="H27" s="14" t="s">
        <v>1</v>
      </c>
      <c r="I27" s="15"/>
      <c r="J27" s="138"/>
      <c r="K27" s="138"/>
      <c r="L27" s="138"/>
      <c r="M27" s="160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105"/>
      <c r="AB27" s="102"/>
      <c r="AC27" s="103"/>
    </row>
    <row r="28" spans="1:29" ht="111.75" customHeight="1">
      <c r="A28" s="56"/>
      <c r="B28" s="56"/>
      <c r="C28" s="78"/>
      <c r="D28" s="56"/>
      <c r="E28" s="57"/>
      <c r="F28" s="16" t="s">
        <v>10</v>
      </c>
      <c r="G28" s="17"/>
      <c r="H28" s="17"/>
      <c r="I28" s="13" t="s">
        <v>0</v>
      </c>
      <c r="J28" s="135">
        <f>J29+J247+J262+J266</f>
        <v>45571856.46176</v>
      </c>
      <c r="K28" s="135">
        <f>K29+K247+K262+K266</f>
        <v>95282368.72580001</v>
      </c>
      <c r="L28" s="135">
        <f>L29+L247+L262+L266</f>
        <v>71964145.81244001</v>
      </c>
      <c r="M28" s="155">
        <f>J28+K28+L28</f>
        <v>212818371.00000003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105"/>
      <c r="AB28" s="105"/>
      <c r="AC28" s="105"/>
    </row>
    <row r="29" spans="1:29" ht="111.75" customHeight="1">
      <c r="A29" s="29"/>
      <c r="B29" s="29"/>
      <c r="C29" s="29"/>
      <c r="D29" s="29"/>
      <c r="E29" s="58"/>
      <c r="F29" s="18" t="s">
        <v>11</v>
      </c>
      <c r="G29" s="17"/>
      <c r="H29" s="17"/>
      <c r="I29" s="19"/>
      <c r="J29" s="135">
        <f>J31+J79+J163</f>
        <v>45535856.46176</v>
      </c>
      <c r="K29" s="135">
        <f>K31+K79+K163</f>
        <v>95012768.72580001</v>
      </c>
      <c r="L29" s="135">
        <f>L31+L79+L163</f>
        <v>71564145.81244001</v>
      </c>
      <c r="M29" s="155">
        <f aca="true" t="shared" si="0" ref="M29:M92">J29+K29+L29</f>
        <v>212112771.00000003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105"/>
      <c r="AC29" s="105"/>
    </row>
    <row r="30" spans="1:29" ht="111.75" customHeight="1">
      <c r="A30" s="29"/>
      <c r="B30" s="29"/>
      <c r="C30" s="29"/>
      <c r="D30" s="29"/>
      <c r="E30" s="58"/>
      <c r="F30" s="20"/>
      <c r="G30" s="17"/>
      <c r="H30" s="17"/>
      <c r="I30" s="21"/>
      <c r="J30" s="133"/>
      <c r="K30" s="139"/>
      <c r="L30" s="139"/>
      <c r="M30" s="155">
        <f t="shared" si="0"/>
        <v>0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105"/>
      <c r="AB30" s="106"/>
      <c r="AC30" s="106"/>
    </row>
    <row r="31" spans="1:29" ht="111.75" customHeight="1">
      <c r="A31" s="29" t="s">
        <v>58</v>
      </c>
      <c r="B31" s="29" t="s">
        <v>57</v>
      </c>
      <c r="C31" s="29"/>
      <c r="D31" s="29"/>
      <c r="E31" s="58"/>
      <c r="F31" s="23" t="s">
        <v>249</v>
      </c>
      <c r="G31" s="17"/>
      <c r="H31" s="17"/>
      <c r="I31" s="21"/>
      <c r="J31" s="135">
        <f>J32+J50+J62+J69+J73</f>
        <v>31940822.461760003</v>
      </c>
      <c r="K31" s="135">
        <f>K32+K50+K62+K69+K73</f>
        <v>78598888.72580001</v>
      </c>
      <c r="L31" s="135">
        <f>L32+L50+L62+L69+L73</f>
        <v>69041205.81244001</v>
      </c>
      <c r="M31" s="155">
        <f t="shared" si="0"/>
        <v>179580917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105"/>
      <c r="AB31" s="105"/>
      <c r="AC31" s="105"/>
    </row>
    <row r="32" spans="1:30" s="27" customFormat="1" ht="111.75" customHeight="1">
      <c r="A32" s="28"/>
      <c r="B32" s="28"/>
      <c r="C32" s="29" t="s">
        <v>57</v>
      </c>
      <c r="D32" s="29"/>
      <c r="E32" s="58"/>
      <c r="F32" s="18" t="s">
        <v>74</v>
      </c>
      <c r="G32" s="17"/>
      <c r="H32" s="17"/>
      <c r="I32" s="9"/>
      <c r="J32" s="135">
        <f>J33+J35+J43+J44+J45</f>
        <v>25010288.036320005</v>
      </c>
      <c r="K32" s="135">
        <f>K33+K35+K43+K44+K45</f>
        <v>68027932.43316</v>
      </c>
      <c r="L32" s="135">
        <f>L33+L35+L43+L44+L45</f>
        <v>61135884.73052</v>
      </c>
      <c r="M32" s="155">
        <f t="shared" si="0"/>
        <v>154174105.20000002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107"/>
      <c r="AB32" s="107"/>
      <c r="AC32" s="108"/>
      <c r="AD32" s="109"/>
    </row>
    <row r="33" spans="1:30" s="25" customFormat="1" ht="111.75" customHeight="1">
      <c r="A33" s="28"/>
      <c r="B33" s="28"/>
      <c r="C33" s="29"/>
      <c r="D33" s="29" t="s">
        <v>57</v>
      </c>
      <c r="E33" s="58"/>
      <c r="F33" s="18" t="s">
        <v>75</v>
      </c>
      <c r="G33" s="17"/>
      <c r="H33" s="17"/>
      <c r="I33" s="9"/>
      <c r="J33" s="135">
        <f>J34</f>
        <v>21756977.92632</v>
      </c>
      <c r="K33" s="135">
        <f>K34</f>
        <v>56586425.78316</v>
      </c>
      <c r="L33" s="135">
        <f aca="true" t="shared" si="1" ref="L33:Y33">L34</f>
        <v>52250701.49052</v>
      </c>
      <c r="M33" s="155">
        <f t="shared" si="0"/>
        <v>130594105.2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106"/>
      <c r="AB33" s="110"/>
      <c r="AC33" s="111"/>
      <c r="AD33" s="112">
        <f>AC33*0.04</f>
        <v>0</v>
      </c>
    </row>
    <row r="34" spans="1:29" ht="111.75" customHeight="1">
      <c r="A34" s="29"/>
      <c r="B34" s="29"/>
      <c r="C34" s="29"/>
      <c r="D34" s="29"/>
      <c r="E34" s="58" t="s">
        <v>57</v>
      </c>
      <c r="F34" s="44" t="s">
        <v>12</v>
      </c>
      <c r="G34" s="17"/>
      <c r="H34" s="17"/>
      <c r="I34" s="21"/>
      <c r="J34" s="133">
        <f>130594105.2*0.1666</f>
        <v>21756977.92632</v>
      </c>
      <c r="K34" s="133">
        <f>130594105.2*0.4333</f>
        <v>56586425.78316</v>
      </c>
      <c r="L34" s="133">
        <f>130594105.2*0.4001</f>
        <v>52250701.49052</v>
      </c>
      <c r="M34" s="155">
        <f t="shared" si="0"/>
        <v>130594105.2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06"/>
      <c r="AB34" s="102"/>
      <c r="AC34" s="103"/>
    </row>
    <row r="35" spans="1:30" s="27" customFormat="1" ht="111.75" customHeight="1">
      <c r="A35" s="29"/>
      <c r="B35" s="29"/>
      <c r="C35" s="29"/>
      <c r="D35" s="29" t="s">
        <v>58</v>
      </c>
      <c r="E35" s="58"/>
      <c r="F35" s="18" t="s">
        <v>76</v>
      </c>
      <c r="G35" s="17"/>
      <c r="H35" s="17"/>
      <c r="I35" s="21"/>
      <c r="J35" s="140">
        <f>SUM(J36:J42)</f>
        <v>1047536.76</v>
      </c>
      <c r="K35" s="140">
        <f>SUM(K36:K42)</f>
        <v>2120000</v>
      </c>
      <c r="L35" s="140">
        <f>SUM(L36:L42)</f>
        <v>1712463.24</v>
      </c>
      <c r="M35" s="155">
        <f t="shared" si="0"/>
        <v>4880000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107"/>
      <c r="AB35" s="110"/>
      <c r="AC35" s="114"/>
      <c r="AD35" s="109"/>
    </row>
    <row r="36" spans="1:29" ht="111.75" customHeight="1">
      <c r="A36" s="29"/>
      <c r="B36" s="29"/>
      <c r="C36" s="29"/>
      <c r="D36" s="29"/>
      <c r="E36" s="58" t="s">
        <v>57</v>
      </c>
      <c r="F36" s="44" t="s">
        <v>77</v>
      </c>
      <c r="G36" s="17"/>
      <c r="H36" s="17"/>
      <c r="I36" s="21"/>
      <c r="J36" s="134">
        <v>300000</v>
      </c>
      <c r="K36" s="134">
        <v>900000</v>
      </c>
      <c r="L36" s="134">
        <v>0</v>
      </c>
      <c r="M36" s="155">
        <f t="shared" si="0"/>
        <v>1200000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06"/>
      <c r="AB36" s="102"/>
      <c r="AC36" s="103"/>
    </row>
    <row r="37" spans="1:29" ht="111.75" customHeight="1">
      <c r="A37" s="89"/>
      <c r="B37" s="89"/>
      <c r="C37" s="89"/>
      <c r="D37" s="89"/>
      <c r="E37" s="58" t="s">
        <v>58</v>
      </c>
      <c r="F37" s="44" t="s">
        <v>13</v>
      </c>
      <c r="G37" s="17"/>
      <c r="H37" s="17"/>
      <c r="I37" s="21"/>
      <c r="J37" s="134"/>
      <c r="K37" s="134"/>
      <c r="L37" s="134">
        <v>1440000</v>
      </c>
      <c r="M37" s="155">
        <f t="shared" si="0"/>
        <v>1440000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106"/>
      <c r="AB37" s="102"/>
      <c r="AC37" s="103"/>
    </row>
    <row r="38" spans="1:29" ht="111.75" customHeight="1">
      <c r="A38" s="29"/>
      <c r="B38" s="29"/>
      <c r="C38" s="29"/>
      <c r="D38" s="29"/>
      <c r="E38" s="58" t="s">
        <v>59</v>
      </c>
      <c r="F38" s="44" t="s">
        <v>14</v>
      </c>
      <c r="G38" s="17"/>
      <c r="H38" s="17"/>
      <c r="I38" s="21"/>
      <c r="J38" s="134">
        <v>200000</v>
      </c>
      <c r="K38" s="134">
        <v>200000</v>
      </c>
      <c r="L38" s="134"/>
      <c r="M38" s="155">
        <f t="shared" si="0"/>
        <v>400000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06"/>
      <c r="AB38" s="102"/>
      <c r="AC38" s="103"/>
    </row>
    <row r="39" spans="1:29" ht="111.75" customHeight="1">
      <c r="A39" s="29"/>
      <c r="B39" s="29"/>
      <c r="C39" s="29"/>
      <c r="D39" s="29"/>
      <c r="E39" s="58" t="s">
        <v>60</v>
      </c>
      <c r="F39" s="44" t="s">
        <v>78</v>
      </c>
      <c r="G39" s="17"/>
      <c r="H39" s="17"/>
      <c r="I39" s="21"/>
      <c r="J39" s="134">
        <v>127536.76</v>
      </c>
      <c r="K39" s="134">
        <v>200000</v>
      </c>
      <c r="L39" s="134">
        <v>272463.24</v>
      </c>
      <c r="M39" s="155">
        <f t="shared" si="0"/>
        <v>600000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06"/>
      <c r="AB39" s="102"/>
      <c r="AC39" s="103"/>
    </row>
    <row r="40" spans="1:30" s="27" customFormat="1" ht="111.75" customHeight="1">
      <c r="A40" s="29"/>
      <c r="B40" s="29"/>
      <c r="C40" s="29"/>
      <c r="D40" s="29"/>
      <c r="E40" s="58" t="s">
        <v>61</v>
      </c>
      <c r="F40" s="44" t="s">
        <v>79</v>
      </c>
      <c r="G40" s="17"/>
      <c r="H40" s="17"/>
      <c r="I40" s="21"/>
      <c r="J40" s="134">
        <v>420000</v>
      </c>
      <c r="K40" s="134">
        <v>820000</v>
      </c>
      <c r="L40" s="134"/>
      <c r="M40" s="155">
        <f t="shared" si="0"/>
        <v>1240000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07"/>
      <c r="AB40" s="107"/>
      <c r="AC40" s="107"/>
      <c r="AD40" s="109"/>
    </row>
    <row r="41" spans="1:29" ht="111.75" customHeight="1">
      <c r="A41" s="29"/>
      <c r="B41" s="29"/>
      <c r="C41" s="29"/>
      <c r="D41" s="29"/>
      <c r="E41" s="58" t="s">
        <v>62</v>
      </c>
      <c r="F41" s="44" t="s">
        <v>16</v>
      </c>
      <c r="G41" s="17"/>
      <c r="H41" s="17"/>
      <c r="I41" s="21"/>
      <c r="J41" s="134"/>
      <c r="K41" s="134"/>
      <c r="L41" s="134"/>
      <c r="M41" s="155">
        <f t="shared" si="0"/>
        <v>0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6"/>
      <c r="AB41" s="102"/>
      <c r="AC41" s="103"/>
    </row>
    <row r="42" spans="1:29" ht="111.75" customHeight="1">
      <c r="A42" s="29"/>
      <c r="B42" s="29"/>
      <c r="C42" s="29"/>
      <c r="D42" s="29"/>
      <c r="E42" s="58" t="s">
        <v>63</v>
      </c>
      <c r="F42" s="44" t="s">
        <v>17</v>
      </c>
      <c r="G42" s="17"/>
      <c r="H42" s="17"/>
      <c r="I42" s="21"/>
      <c r="J42" s="134">
        <v>0</v>
      </c>
      <c r="K42" s="134">
        <v>0</v>
      </c>
      <c r="L42" s="134">
        <v>0</v>
      </c>
      <c r="M42" s="155">
        <f t="shared" si="0"/>
        <v>0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06"/>
      <c r="AB42" s="102"/>
      <c r="AC42" s="103"/>
    </row>
    <row r="43" spans="1:29" ht="111.75" customHeight="1">
      <c r="A43" s="28"/>
      <c r="B43" s="28"/>
      <c r="C43" s="29"/>
      <c r="D43" s="29" t="s">
        <v>59</v>
      </c>
      <c r="E43" s="59"/>
      <c r="F43" s="18" t="s">
        <v>80</v>
      </c>
      <c r="G43" s="17"/>
      <c r="H43" s="17"/>
      <c r="I43" s="21"/>
      <c r="J43" s="135">
        <v>0</v>
      </c>
      <c r="K43" s="135">
        <f>5400000*0.6849</f>
        <v>3698459.9999999995</v>
      </c>
      <c r="L43" s="135">
        <f>5400000*0.3151</f>
        <v>1701540</v>
      </c>
      <c r="M43" s="155">
        <f t="shared" si="0"/>
        <v>5400000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06"/>
      <c r="AB43" s="102"/>
      <c r="AC43" s="103"/>
    </row>
    <row r="44" spans="1:29" ht="111.75" customHeight="1">
      <c r="A44" s="29"/>
      <c r="B44" s="29"/>
      <c r="C44" s="29"/>
      <c r="D44" s="29" t="s">
        <v>60</v>
      </c>
      <c r="E44" s="59"/>
      <c r="F44" s="18" t="s">
        <v>81</v>
      </c>
      <c r="G44" s="17"/>
      <c r="H44" s="17"/>
      <c r="I44" s="21"/>
      <c r="J44" s="134">
        <v>1965773.35</v>
      </c>
      <c r="K44" s="134">
        <v>5113046.65</v>
      </c>
      <c r="L44" s="134">
        <f>11800000*0.4001</f>
        <v>4721180</v>
      </c>
      <c r="M44" s="155">
        <f t="shared" si="0"/>
        <v>11800000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06"/>
      <c r="AB44" s="110"/>
      <c r="AC44" s="111"/>
    </row>
    <row r="45" spans="1:29" ht="111.75" customHeight="1">
      <c r="A45" s="29"/>
      <c r="B45" s="29"/>
      <c r="C45" s="29"/>
      <c r="D45" s="29" t="s">
        <v>61</v>
      </c>
      <c r="E45" s="59"/>
      <c r="F45" s="18" t="s">
        <v>82</v>
      </c>
      <c r="G45" s="17"/>
      <c r="H45" s="17"/>
      <c r="I45" s="21"/>
      <c r="J45" s="141">
        <f>SUM(J46:J49)</f>
        <v>240000</v>
      </c>
      <c r="K45" s="141">
        <f>SUM(K46:K49)</f>
        <v>510000</v>
      </c>
      <c r="L45" s="141">
        <f>SUM(L46:L49)</f>
        <v>750000</v>
      </c>
      <c r="M45" s="155">
        <f t="shared" si="0"/>
        <v>1500000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06"/>
      <c r="AB45" s="102"/>
      <c r="AC45" s="103"/>
    </row>
    <row r="46" spans="1:29" ht="111.75" customHeight="1">
      <c r="A46" s="29"/>
      <c r="B46" s="29"/>
      <c r="C46" s="29"/>
      <c r="D46" s="29"/>
      <c r="E46" s="58" t="s">
        <v>57</v>
      </c>
      <c r="F46" s="44" t="s">
        <v>82</v>
      </c>
      <c r="G46" s="17"/>
      <c r="H46" s="17"/>
      <c r="I46" s="26"/>
      <c r="J46" s="134">
        <v>0</v>
      </c>
      <c r="K46" s="134">
        <v>0</v>
      </c>
      <c r="L46" s="134">
        <v>0</v>
      </c>
      <c r="M46" s="155">
        <f t="shared" si="0"/>
        <v>0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06"/>
      <c r="AB46" s="102"/>
      <c r="AC46" s="103"/>
    </row>
    <row r="47" spans="1:30" s="25" customFormat="1" ht="111.75" customHeight="1">
      <c r="A47" s="29"/>
      <c r="B47" s="29"/>
      <c r="C47" s="29"/>
      <c r="D47" s="29"/>
      <c r="E47" s="58" t="s">
        <v>58</v>
      </c>
      <c r="F47" s="44" t="s">
        <v>83</v>
      </c>
      <c r="G47" s="17"/>
      <c r="H47" s="17"/>
      <c r="I47" s="21"/>
      <c r="J47" s="133">
        <v>0</v>
      </c>
      <c r="K47" s="133">
        <v>0</v>
      </c>
      <c r="L47" s="133">
        <v>0</v>
      </c>
      <c r="M47" s="155">
        <f t="shared" si="0"/>
        <v>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06"/>
      <c r="AB47" s="110"/>
      <c r="AC47" s="111"/>
      <c r="AD47" s="117"/>
    </row>
    <row r="48" spans="1:30" s="25" customFormat="1" ht="111.75" customHeight="1">
      <c r="A48" s="29"/>
      <c r="B48" s="29"/>
      <c r="C48" s="29"/>
      <c r="D48" s="29"/>
      <c r="E48" s="58" t="s">
        <v>59</v>
      </c>
      <c r="F48" s="44" t="s">
        <v>84</v>
      </c>
      <c r="G48" s="17"/>
      <c r="H48" s="17"/>
      <c r="I48" s="21"/>
      <c r="J48" s="134">
        <v>100000</v>
      </c>
      <c r="K48" s="134">
        <v>200000</v>
      </c>
      <c r="L48" s="134">
        <f>600000*0.5</f>
        <v>300000</v>
      </c>
      <c r="M48" s="155">
        <f t="shared" si="0"/>
        <v>600000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06"/>
      <c r="AB48" s="110"/>
      <c r="AC48" s="111"/>
      <c r="AD48" s="117"/>
    </row>
    <row r="49" spans="1:30" s="27" customFormat="1" ht="111.75" customHeight="1">
      <c r="A49" s="29"/>
      <c r="B49" s="29"/>
      <c r="C49" s="29"/>
      <c r="D49" s="29"/>
      <c r="E49" s="58" t="s">
        <v>60</v>
      </c>
      <c r="F49" s="44" t="s">
        <v>85</v>
      </c>
      <c r="G49" s="17"/>
      <c r="H49" s="17"/>
      <c r="I49" s="21"/>
      <c r="J49" s="133">
        <v>140000</v>
      </c>
      <c r="K49" s="133">
        <v>310000</v>
      </c>
      <c r="L49" s="133">
        <f>900000*0.5</f>
        <v>450000</v>
      </c>
      <c r="M49" s="155">
        <f t="shared" si="0"/>
        <v>900000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07"/>
      <c r="AB49" s="110"/>
      <c r="AC49" s="114"/>
      <c r="AD49" s="109"/>
    </row>
    <row r="50" spans="1:29" ht="111.75" customHeight="1">
      <c r="A50" s="29"/>
      <c r="B50" s="29"/>
      <c r="C50" s="29" t="s">
        <v>58</v>
      </c>
      <c r="D50" s="29"/>
      <c r="E50" s="58"/>
      <c r="F50" s="18" t="s">
        <v>86</v>
      </c>
      <c r="G50" s="17"/>
      <c r="H50" s="17"/>
      <c r="I50" s="21"/>
      <c r="J50" s="140">
        <f>J51+J52+J61</f>
        <v>3500000</v>
      </c>
      <c r="K50" s="140">
        <f>K51+K52+K61</f>
        <v>2489500</v>
      </c>
      <c r="L50" s="140">
        <f>L51+L52+L61</f>
        <v>0</v>
      </c>
      <c r="M50" s="155">
        <f t="shared" si="0"/>
        <v>5989500</v>
      </c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106"/>
      <c r="AB50" s="102"/>
      <c r="AC50" s="103"/>
    </row>
    <row r="51" spans="1:29" ht="111.75" customHeight="1">
      <c r="A51" s="28"/>
      <c r="B51" s="28"/>
      <c r="C51" s="29"/>
      <c r="D51" s="29" t="s">
        <v>57</v>
      </c>
      <c r="E51" s="58"/>
      <c r="F51" s="18" t="s">
        <v>15</v>
      </c>
      <c r="G51" s="17"/>
      <c r="H51" s="17"/>
      <c r="I51" s="21"/>
      <c r="J51" s="141"/>
      <c r="K51" s="141"/>
      <c r="L51" s="141"/>
      <c r="M51" s="155">
        <f t="shared" si="0"/>
        <v>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06"/>
      <c r="AB51" s="102"/>
      <c r="AC51" s="103"/>
    </row>
    <row r="52" spans="1:30" s="27" customFormat="1" ht="111.75" customHeight="1">
      <c r="A52" s="29"/>
      <c r="B52" s="29"/>
      <c r="C52" s="29"/>
      <c r="D52" s="29" t="s">
        <v>58</v>
      </c>
      <c r="E52" s="58"/>
      <c r="F52" s="18" t="s">
        <v>87</v>
      </c>
      <c r="G52" s="17"/>
      <c r="H52" s="17"/>
      <c r="I52" s="21"/>
      <c r="J52" s="141">
        <f>SUM(J53:J60)</f>
        <v>3500000</v>
      </c>
      <c r="K52" s="141">
        <f>SUM(K53:K60)</f>
        <v>2489500</v>
      </c>
      <c r="L52" s="141">
        <f>SUM(L53:L60)</f>
        <v>0</v>
      </c>
      <c r="M52" s="155">
        <f t="shared" si="0"/>
        <v>5989500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07"/>
      <c r="AB52" s="107"/>
      <c r="AC52" s="107"/>
      <c r="AD52" s="109"/>
    </row>
    <row r="53" spans="1:29" ht="111.75" customHeight="1">
      <c r="A53" s="29"/>
      <c r="B53" s="29"/>
      <c r="C53" s="29"/>
      <c r="D53" s="29"/>
      <c r="E53" s="58" t="s">
        <v>57</v>
      </c>
      <c r="F53" s="44" t="s">
        <v>88</v>
      </c>
      <c r="G53" s="17"/>
      <c r="H53" s="17"/>
      <c r="I53" s="21"/>
      <c r="J53" s="134">
        <v>0</v>
      </c>
      <c r="K53" s="134">
        <v>0</v>
      </c>
      <c r="L53" s="134">
        <v>0</v>
      </c>
      <c r="M53" s="155">
        <f t="shared" si="0"/>
        <v>0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06"/>
      <c r="AB53" s="110"/>
      <c r="AC53" s="111"/>
    </row>
    <row r="54" spans="1:30" s="27" customFormat="1" ht="111.75" customHeight="1">
      <c r="A54" s="29"/>
      <c r="B54" s="29"/>
      <c r="C54" s="29"/>
      <c r="D54" s="29"/>
      <c r="E54" s="58" t="s">
        <v>58</v>
      </c>
      <c r="F54" s="44" t="s">
        <v>89</v>
      </c>
      <c r="G54" s="17"/>
      <c r="H54" s="17"/>
      <c r="I54" s="21"/>
      <c r="J54" s="134">
        <v>0</v>
      </c>
      <c r="K54" s="134">
        <v>0</v>
      </c>
      <c r="L54" s="134">
        <v>0</v>
      </c>
      <c r="M54" s="155">
        <f t="shared" si="0"/>
        <v>0</v>
      </c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07"/>
      <c r="AB54" s="107"/>
      <c r="AC54" s="107"/>
      <c r="AD54" s="109"/>
    </row>
    <row r="55" spans="1:29" ht="111.75" customHeight="1">
      <c r="A55" s="29"/>
      <c r="B55" s="29"/>
      <c r="C55" s="29"/>
      <c r="D55" s="29"/>
      <c r="E55" s="58" t="s">
        <v>60</v>
      </c>
      <c r="F55" s="44" t="s">
        <v>90</v>
      </c>
      <c r="G55" s="17"/>
      <c r="H55" s="17"/>
      <c r="I55" s="21"/>
      <c r="J55" s="134">
        <v>3500000</v>
      </c>
      <c r="K55" s="134"/>
      <c r="L55" s="134"/>
      <c r="M55" s="155">
        <f t="shared" si="0"/>
        <v>3500000</v>
      </c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06"/>
      <c r="AB55" s="110"/>
      <c r="AC55" s="111"/>
    </row>
    <row r="56" spans="1:29" ht="111.75" customHeight="1">
      <c r="A56" s="29"/>
      <c r="B56" s="29"/>
      <c r="C56" s="29"/>
      <c r="D56" s="29"/>
      <c r="E56" s="58" t="s">
        <v>61</v>
      </c>
      <c r="F56" s="44" t="s">
        <v>91</v>
      </c>
      <c r="G56" s="17"/>
      <c r="H56" s="17"/>
      <c r="I56" s="21"/>
      <c r="J56" s="134"/>
      <c r="K56" s="134">
        <f>2489500</f>
        <v>2489500</v>
      </c>
      <c r="L56" s="134"/>
      <c r="M56" s="155">
        <f t="shared" si="0"/>
        <v>2489500</v>
      </c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06"/>
      <c r="AB56" s="110"/>
      <c r="AC56" s="111"/>
    </row>
    <row r="57" spans="1:30" s="27" customFormat="1" ht="111.75" customHeight="1">
      <c r="A57" s="29"/>
      <c r="B57" s="29"/>
      <c r="C57" s="29"/>
      <c r="D57" s="29"/>
      <c r="E57" s="58" t="s">
        <v>62</v>
      </c>
      <c r="F57" s="44" t="s">
        <v>92</v>
      </c>
      <c r="G57" s="17"/>
      <c r="H57" s="17"/>
      <c r="I57" s="21"/>
      <c r="J57" s="134"/>
      <c r="K57" s="134"/>
      <c r="L57" s="134"/>
      <c r="M57" s="155">
        <f t="shared" si="0"/>
        <v>0</v>
      </c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8"/>
      <c r="AB57" s="118"/>
      <c r="AC57" s="118"/>
      <c r="AD57" s="109"/>
    </row>
    <row r="58" spans="1:29" ht="111.75" customHeight="1">
      <c r="A58" s="29"/>
      <c r="B58" s="29"/>
      <c r="C58" s="29"/>
      <c r="D58" s="29"/>
      <c r="E58" s="58" t="s">
        <v>63</v>
      </c>
      <c r="F58" s="44" t="s">
        <v>93</v>
      </c>
      <c r="G58" s="17"/>
      <c r="H58" s="17"/>
      <c r="I58" s="21"/>
      <c r="J58" s="134"/>
      <c r="K58" s="134"/>
      <c r="L58" s="134"/>
      <c r="M58" s="155">
        <f t="shared" si="0"/>
        <v>0</v>
      </c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02"/>
      <c r="AB58" s="110"/>
      <c r="AC58" s="111"/>
    </row>
    <row r="59" spans="1:29" ht="111.75" customHeight="1">
      <c r="A59" s="29"/>
      <c r="B59" s="29"/>
      <c r="C59" s="29"/>
      <c r="D59" s="29"/>
      <c r="E59" s="58" t="s">
        <v>64</v>
      </c>
      <c r="F59" s="44" t="s">
        <v>94</v>
      </c>
      <c r="G59" s="17"/>
      <c r="H59" s="17"/>
      <c r="I59" s="21"/>
      <c r="J59" s="134"/>
      <c r="K59" s="134"/>
      <c r="L59" s="134"/>
      <c r="M59" s="155">
        <f t="shared" si="0"/>
        <v>0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02"/>
      <c r="AB59" s="102"/>
      <c r="AC59" s="103"/>
    </row>
    <row r="60" spans="1:29" ht="111.75" customHeight="1">
      <c r="A60" s="29"/>
      <c r="B60" s="29"/>
      <c r="C60" s="29"/>
      <c r="D60" s="29"/>
      <c r="E60" s="58" t="s">
        <v>65</v>
      </c>
      <c r="F60" s="44" t="s">
        <v>95</v>
      </c>
      <c r="G60" s="17"/>
      <c r="H60" s="17"/>
      <c r="I60" s="21"/>
      <c r="J60" s="134"/>
      <c r="K60" s="134"/>
      <c r="L60" s="134"/>
      <c r="M60" s="155">
        <f t="shared" si="0"/>
        <v>0</v>
      </c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02"/>
      <c r="AB60" s="102"/>
      <c r="AC60" s="103"/>
    </row>
    <row r="61" spans="1:29" ht="111.75" customHeight="1">
      <c r="A61" s="28"/>
      <c r="B61" s="28"/>
      <c r="C61" s="29"/>
      <c r="D61" s="29" t="s">
        <v>59</v>
      </c>
      <c r="E61" s="58"/>
      <c r="F61" s="18" t="s">
        <v>96</v>
      </c>
      <c r="G61" s="17"/>
      <c r="H61" s="17"/>
      <c r="I61" s="21"/>
      <c r="J61" s="135">
        <v>0</v>
      </c>
      <c r="K61" s="135">
        <v>0</v>
      </c>
      <c r="L61" s="135">
        <v>0</v>
      </c>
      <c r="M61" s="155">
        <f t="shared" si="0"/>
        <v>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102"/>
      <c r="AB61" s="102"/>
      <c r="AC61" s="103"/>
    </row>
    <row r="62" spans="1:30" s="31" customFormat="1" ht="111.75" customHeight="1">
      <c r="A62" s="28"/>
      <c r="B62" s="28"/>
      <c r="C62" s="29" t="s">
        <v>59</v>
      </c>
      <c r="D62" s="29"/>
      <c r="E62" s="58"/>
      <c r="F62" s="18" t="s">
        <v>97</v>
      </c>
      <c r="G62" s="17"/>
      <c r="H62" s="17"/>
      <c r="I62" s="21"/>
      <c r="J62" s="135">
        <f>J63+J66</f>
        <v>0</v>
      </c>
      <c r="K62" s="135">
        <f>K63+K66</f>
        <v>0</v>
      </c>
      <c r="L62" s="135">
        <f>L63+L66</f>
        <v>0</v>
      </c>
      <c r="M62" s="155">
        <f t="shared" si="0"/>
        <v>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118"/>
      <c r="AB62" s="118"/>
      <c r="AC62" s="118"/>
      <c r="AD62" s="119"/>
    </row>
    <row r="63" spans="1:30" s="25" customFormat="1" ht="111.75" customHeight="1">
      <c r="A63" s="28"/>
      <c r="B63" s="28"/>
      <c r="C63" s="29"/>
      <c r="D63" s="29" t="s">
        <v>57</v>
      </c>
      <c r="E63" s="58"/>
      <c r="F63" s="18" t="s">
        <v>98</v>
      </c>
      <c r="G63" s="17"/>
      <c r="H63" s="17"/>
      <c r="I63" s="21"/>
      <c r="J63" s="135">
        <f>SUM(J64:J65)</f>
        <v>0</v>
      </c>
      <c r="K63" s="135">
        <f>SUM(K64:K65)</f>
        <v>0</v>
      </c>
      <c r="L63" s="135">
        <f>SUM(L64:L65)</f>
        <v>0</v>
      </c>
      <c r="M63" s="155">
        <f t="shared" si="0"/>
        <v>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102"/>
      <c r="AB63" s="110"/>
      <c r="AC63" s="111"/>
      <c r="AD63" s="117"/>
    </row>
    <row r="64" spans="1:29" ht="111.75" customHeight="1">
      <c r="A64" s="29"/>
      <c r="B64" s="29"/>
      <c r="C64" s="29"/>
      <c r="D64" s="29"/>
      <c r="E64" s="58" t="s">
        <v>57</v>
      </c>
      <c r="F64" s="44" t="s">
        <v>18</v>
      </c>
      <c r="G64" s="17"/>
      <c r="H64" s="17"/>
      <c r="I64" s="21"/>
      <c r="J64" s="133"/>
      <c r="K64" s="133"/>
      <c r="L64" s="133"/>
      <c r="M64" s="155">
        <f t="shared" si="0"/>
        <v>0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02"/>
      <c r="AB64" s="102"/>
      <c r="AC64" s="103"/>
    </row>
    <row r="65" spans="1:29" ht="111.75" customHeight="1">
      <c r="A65" s="29"/>
      <c r="B65" s="29"/>
      <c r="C65" s="29"/>
      <c r="D65" s="29"/>
      <c r="E65" s="58" t="s">
        <v>58</v>
      </c>
      <c r="F65" s="44" t="s">
        <v>99</v>
      </c>
      <c r="G65" s="17"/>
      <c r="H65" s="17"/>
      <c r="I65" s="21"/>
      <c r="J65" s="133"/>
      <c r="K65" s="133"/>
      <c r="L65" s="133"/>
      <c r="M65" s="155">
        <f t="shared" si="0"/>
        <v>0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0"/>
      <c r="AB65" s="120"/>
      <c r="AC65" s="120"/>
    </row>
    <row r="66" spans="1:30" s="31" customFormat="1" ht="111.75" customHeight="1">
      <c r="A66" s="29"/>
      <c r="B66" s="29"/>
      <c r="C66" s="29"/>
      <c r="D66" s="29" t="s">
        <v>58</v>
      </c>
      <c r="E66" s="59"/>
      <c r="F66" s="18" t="s">
        <v>100</v>
      </c>
      <c r="G66" s="90"/>
      <c r="H66" s="90"/>
      <c r="I66" s="30"/>
      <c r="J66" s="140">
        <f>SUM(J67:J68)</f>
        <v>0</v>
      </c>
      <c r="K66" s="140">
        <f>SUM(K67:K68)</f>
        <v>0</v>
      </c>
      <c r="L66" s="140">
        <f>SUM(L67:L68)</f>
        <v>0</v>
      </c>
      <c r="M66" s="155">
        <f t="shared" si="0"/>
        <v>0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118"/>
      <c r="AB66" s="118"/>
      <c r="AC66" s="118"/>
      <c r="AD66" s="119"/>
    </row>
    <row r="67" spans="1:29" ht="111.75" customHeight="1">
      <c r="A67" s="29"/>
      <c r="B67" s="29"/>
      <c r="C67" s="29"/>
      <c r="D67" s="29"/>
      <c r="E67" s="58" t="s">
        <v>57</v>
      </c>
      <c r="F67" s="44" t="s">
        <v>101</v>
      </c>
      <c r="G67" s="17"/>
      <c r="H67" s="17"/>
      <c r="I67" s="21"/>
      <c r="J67" s="133"/>
      <c r="K67" s="133"/>
      <c r="L67" s="133"/>
      <c r="M67" s="155">
        <f t="shared" si="0"/>
        <v>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02"/>
      <c r="AB67" s="102"/>
      <c r="AC67" s="103"/>
    </row>
    <row r="68" spans="1:30" s="25" customFormat="1" ht="111.75" customHeight="1">
      <c r="A68" s="29"/>
      <c r="B68" s="29"/>
      <c r="C68" s="29"/>
      <c r="D68" s="29"/>
      <c r="E68" s="58" t="s">
        <v>58</v>
      </c>
      <c r="F68" s="44" t="s">
        <v>102</v>
      </c>
      <c r="G68" s="17"/>
      <c r="H68" s="17"/>
      <c r="I68" s="21"/>
      <c r="J68" s="133"/>
      <c r="K68" s="133"/>
      <c r="L68" s="133"/>
      <c r="M68" s="155">
        <f t="shared" si="0"/>
        <v>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02"/>
      <c r="AB68" s="110"/>
      <c r="AC68" s="111"/>
      <c r="AD68" s="117"/>
    </row>
    <row r="69" spans="1:30" s="25" customFormat="1" ht="111.75" customHeight="1">
      <c r="A69" s="28"/>
      <c r="B69" s="28"/>
      <c r="C69" s="29" t="s">
        <v>60</v>
      </c>
      <c r="D69" s="29"/>
      <c r="E69" s="58"/>
      <c r="F69" s="18" t="s">
        <v>103</v>
      </c>
      <c r="G69" s="21"/>
      <c r="H69" s="21"/>
      <c r="I69" s="21"/>
      <c r="J69" s="140">
        <f>J70+J71</f>
        <v>0</v>
      </c>
      <c r="K69" s="140">
        <f>K70+K71</f>
        <v>0</v>
      </c>
      <c r="L69" s="140">
        <f>L70+L71</f>
        <v>0</v>
      </c>
      <c r="M69" s="155">
        <f t="shared" si="0"/>
        <v>0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102"/>
      <c r="AB69" s="110"/>
      <c r="AC69" s="111"/>
      <c r="AD69" s="117"/>
    </row>
    <row r="70" spans="1:30" s="34" customFormat="1" ht="111.75" customHeight="1">
      <c r="A70" s="29"/>
      <c r="B70" s="29"/>
      <c r="C70" s="29"/>
      <c r="D70" s="29" t="s">
        <v>57</v>
      </c>
      <c r="E70" s="59"/>
      <c r="F70" s="18" t="s">
        <v>19</v>
      </c>
      <c r="G70" s="21"/>
      <c r="H70" s="21"/>
      <c r="I70" s="22"/>
      <c r="J70" s="133">
        <v>0</v>
      </c>
      <c r="K70" s="133">
        <v>0</v>
      </c>
      <c r="L70" s="133">
        <v>0</v>
      </c>
      <c r="M70" s="155">
        <f t="shared" si="0"/>
        <v>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02"/>
      <c r="AB70" s="121"/>
      <c r="AC70" s="122"/>
      <c r="AD70" s="123"/>
    </row>
    <row r="71" spans="1:30" s="34" customFormat="1" ht="111.75" customHeight="1">
      <c r="A71" s="29"/>
      <c r="B71" s="29"/>
      <c r="C71" s="29"/>
      <c r="D71" s="29" t="s">
        <v>58</v>
      </c>
      <c r="E71" s="59"/>
      <c r="F71" s="18" t="s">
        <v>104</v>
      </c>
      <c r="G71" s="21"/>
      <c r="H71" s="21"/>
      <c r="I71" s="22"/>
      <c r="J71" s="134">
        <f>SUM(J72)</f>
        <v>0</v>
      </c>
      <c r="K71" s="134">
        <f>SUM(K72)</f>
        <v>0</v>
      </c>
      <c r="L71" s="134">
        <f aca="true" t="shared" si="2" ref="L71:Y71">SUM(L72)</f>
        <v>0</v>
      </c>
      <c r="M71" s="155">
        <f t="shared" si="0"/>
        <v>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02"/>
      <c r="AB71" s="110"/>
      <c r="AC71" s="111"/>
      <c r="AD71" s="123"/>
    </row>
    <row r="72" spans="1:30" s="31" customFormat="1" ht="111.75" customHeight="1">
      <c r="A72" s="29"/>
      <c r="B72" s="29"/>
      <c r="C72" s="29"/>
      <c r="D72" s="29"/>
      <c r="E72" s="58" t="s">
        <v>58</v>
      </c>
      <c r="F72" s="44" t="s">
        <v>105</v>
      </c>
      <c r="G72" s="21"/>
      <c r="H72" s="21"/>
      <c r="I72" s="22"/>
      <c r="J72" s="134">
        <v>0</v>
      </c>
      <c r="K72" s="134">
        <v>0</v>
      </c>
      <c r="L72" s="134">
        <v>0</v>
      </c>
      <c r="M72" s="155">
        <f t="shared" si="0"/>
        <v>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8"/>
      <c r="AB72" s="118"/>
      <c r="AC72" s="118"/>
      <c r="AD72" s="119"/>
    </row>
    <row r="73" spans="1:30" s="25" customFormat="1" ht="111.75" customHeight="1">
      <c r="A73" s="29"/>
      <c r="B73" s="29"/>
      <c r="C73" s="29" t="s">
        <v>61</v>
      </c>
      <c r="D73" s="29"/>
      <c r="E73" s="59"/>
      <c r="F73" s="18" t="s">
        <v>106</v>
      </c>
      <c r="G73" s="21"/>
      <c r="H73" s="21"/>
      <c r="I73" s="22"/>
      <c r="J73" s="141">
        <f>SUM(J74:J77)</f>
        <v>3430534.42544</v>
      </c>
      <c r="K73" s="141">
        <f>SUM(K74:K77)</f>
        <v>8081456.29264</v>
      </c>
      <c r="L73" s="141">
        <f>SUM(L74:L77)</f>
        <v>7905321.08192</v>
      </c>
      <c r="M73" s="155">
        <f t="shared" si="0"/>
        <v>19417311.799999997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02"/>
      <c r="AB73" s="110"/>
      <c r="AC73" s="111"/>
      <c r="AD73" s="117"/>
    </row>
    <row r="74" spans="1:30" s="25" customFormat="1" ht="111.75" customHeight="1">
      <c r="A74" s="28"/>
      <c r="B74" s="28"/>
      <c r="C74" s="29"/>
      <c r="D74" s="29" t="s">
        <v>57</v>
      </c>
      <c r="E74" s="59"/>
      <c r="F74" s="18" t="s">
        <v>107</v>
      </c>
      <c r="G74" s="30"/>
      <c r="H74" s="30"/>
      <c r="I74" s="22"/>
      <c r="J74" s="133">
        <f>8944528*0.1775</f>
        <v>1587653.72</v>
      </c>
      <c r="K74" s="133">
        <f>8944528*0.4145</f>
        <v>3707506.8559999997</v>
      </c>
      <c r="L74" s="133">
        <f>8944528*0.408</f>
        <v>3649367.4239999996</v>
      </c>
      <c r="M74" s="155">
        <f t="shared" si="0"/>
        <v>8944528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02"/>
      <c r="AB74" s="110"/>
      <c r="AC74" s="111"/>
      <c r="AD74" s="117"/>
    </row>
    <row r="75" spans="1:30" s="25" customFormat="1" ht="111.75" customHeight="1">
      <c r="A75" s="29"/>
      <c r="B75" s="29"/>
      <c r="C75" s="29"/>
      <c r="D75" s="29" t="s">
        <v>58</v>
      </c>
      <c r="E75" s="59"/>
      <c r="F75" s="18" t="s">
        <v>66</v>
      </c>
      <c r="G75" s="21"/>
      <c r="H75" s="21"/>
      <c r="I75" s="22"/>
      <c r="J75" s="133">
        <f>9131469*0.1804</f>
        <v>1647317.0076000001</v>
      </c>
      <c r="K75" s="133">
        <f>9131469*0.413</f>
        <v>3771296.6969999997</v>
      </c>
      <c r="L75" s="133">
        <f>9131469*0.4066</f>
        <v>3712855.2954</v>
      </c>
      <c r="M75" s="155">
        <f t="shared" si="0"/>
        <v>9131469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02"/>
      <c r="AB75" s="110"/>
      <c r="AC75" s="111"/>
      <c r="AD75" s="117"/>
    </row>
    <row r="76" spans="1:29" ht="111.75" customHeight="1">
      <c r="A76" s="29"/>
      <c r="B76" s="29"/>
      <c r="C76" s="29"/>
      <c r="D76" s="29" t="s">
        <v>59</v>
      </c>
      <c r="E76" s="59"/>
      <c r="F76" s="18" t="s">
        <v>108</v>
      </c>
      <c r="G76" s="21"/>
      <c r="H76" s="21"/>
      <c r="I76" s="22"/>
      <c r="J76" s="133">
        <f>1341314.8*0.1458</f>
        <v>195563.69784000004</v>
      </c>
      <c r="K76" s="133">
        <f>1341314.8*0.4493</f>
        <v>602652.73964</v>
      </c>
      <c r="L76" s="133">
        <f>1341314.8*0.4049</f>
        <v>543098.36252</v>
      </c>
      <c r="M76" s="155">
        <f t="shared" si="0"/>
        <v>1341314.8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02"/>
      <c r="AB76" s="110"/>
      <c r="AC76" s="111"/>
    </row>
    <row r="77" spans="1:30" s="31" customFormat="1" ht="111.75" customHeight="1">
      <c r="A77" s="29"/>
      <c r="B77" s="29"/>
      <c r="C77" s="29"/>
      <c r="D77" s="29" t="s">
        <v>60</v>
      </c>
      <c r="E77" s="59"/>
      <c r="F77" s="18" t="s">
        <v>109</v>
      </c>
      <c r="G77" s="21"/>
      <c r="H77" s="21"/>
      <c r="I77" s="22"/>
      <c r="J77" s="133"/>
      <c r="K77" s="133"/>
      <c r="L77" s="133"/>
      <c r="M77" s="155">
        <f t="shared" si="0"/>
        <v>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8"/>
      <c r="AB77" s="118"/>
      <c r="AC77" s="118"/>
      <c r="AD77" s="119"/>
    </row>
    <row r="78" spans="1:30" s="31" customFormat="1" ht="111.75" customHeight="1">
      <c r="A78" s="29"/>
      <c r="B78" s="29"/>
      <c r="C78" s="29"/>
      <c r="D78" s="29"/>
      <c r="E78" s="59"/>
      <c r="F78" s="18"/>
      <c r="G78" s="21"/>
      <c r="H78" s="21"/>
      <c r="I78" s="22"/>
      <c r="J78" s="133"/>
      <c r="K78" s="133"/>
      <c r="L78" s="133"/>
      <c r="M78" s="155">
        <f t="shared" si="0"/>
        <v>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8"/>
      <c r="AB78" s="118"/>
      <c r="AC78" s="118"/>
      <c r="AD78" s="119"/>
    </row>
    <row r="79" spans="1:30" s="25" customFormat="1" ht="111.75" customHeight="1">
      <c r="A79" s="29"/>
      <c r="B79" s="29" t="s">
        <v>58</v>
      </c>
      <c r="C79" s="29"/>
      <c r="D79" s="29"/>
      <c r="E79" s="58"/>
      <c r="F79" s="23" t="s">
        <v>250</v>
      </c>
      <c r="G79" s="21"/>
      <c r="H79" s="21"/>
      <c r="I79" s="22"/>
      <c r="J79" s="140">
        <f>J80+J89+J92+J95+J100+J114+J120+J137</f>
        <v>11456415</v>
      </c>
      <c r="K79" s="140">
        <f>K80+K89+K92+K95+K100+K114+K120+K137</f>
        <v>5778917.4</v>
      </c>
      <c r="L79" s="140">
        <f>L80+L89+L92+L95+L100+L114+L120+L137</f>
        <v>1637940</v>
      </c>
      <c r="M79" s="155">
        <f t="shared" si="0"/>
        <v>18873272.4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102"/>
      <c r="AB79" s="110"/>
      <c r="AC79" s="111"/>
      <c r="AD79" s="117"/>
    </row>
    <row r="80" spans="1:29" ht="111.75" customHeight="1">
      <c r="A80" s="28"/>
      <c r="B80" s="28"/>
      <c r="C80" s="29" t="s">
        <v>57</v>
      </c>
      <c r="D80" s="29"/>
      <c r="E80" s="59"/>
      <c r="F80" s="18" t="s">
        <v>110</v>
      </c>
      <c r="G80" s="30"/>
      <c r="H80" s="30"/>
      <c r="I80" s="2"/>
      <c r="J80" s="140">
        <f>SUM(J81:J88)</f>
        <v>2497615</v>
      </c>
      <c r="K80" s="140">
        <f>SUM(K81:K88)</f>
        <v>4812072.9</v>
      </c>
      <c r="L80" s="140">
        <f>SUM(L81:L88)</f>
        <v>0</v>
      </c>
      <c r="M80" s="155">
        <f t="shared" si="0"/>
        <v>7309687.9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102"/>
      <c r="AB80" s="102"/>
      <c r="AC80" s="111"/>
    </row>
    <row r="81" spans="1:30" s="31" customFormat="1" ht="111.75" customHeight="1">
      <c r="A81" s="29"/>
      <c r="B81" s="29"/>
      <c r="C81" s="29"/>
      <c r="D81" s="29" t="s">
        <v>57</v>
      </c>
      <c r="E81" s="58"/>
      <c r="F81" s="18" t="s">
        <v>20</v>
      </c>
      <c r="G81" s="21"/>
      <c r="H81" s="21"/>
      <c r="I81" s="22"/>
      <c r="J81" s="133">
        <v>0</v>
      </c>
      <c r="K81" s="151"/>
      <c r="L81" s="133">
        <v>0</v>
      </c>
      <c r="M81" s="155">
        <f t="shared" si="0"/>
        <v>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8"/>
      <c r="AB81" s="118"/>
      <c r="AC81" s="118"/>
      <c r="AD81" s="119"/>
    </row>
    <row r="82" spans="1:30" s="25" customFormat="1" ht="111.75" customHeight="1">
      <c r="A82" s="29"/>
      <c r="B82" s="29"/>
      <c r="C82" s="29"/>
      <c r="D82" s="29" t="s">
        <v>58</v>
      </c>
      <c r="E82" s="58"/>
      <c r="F82" s="18" t="s">
        <v>111</v>
      </c>
      <c r="G82" s="21"/>
      <c r="H82" s="21"/>
      <c r="I82" s="22"/>
      <c r="J82" s="133">
        <v>550000</v>
      </c>
      <c r="K82" s="151">
        <f>217458.62+79947+91238+25700</f>
        <v>414343.62</v>
      </c>
      <c r="L82" s="133"/>
      <c r="M82" s="155">
        <f t="shared" si="0"/>
        <v>964343.62</v>
      </c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02"/>
      <c r="AB82" s="110"/>
      <c r="AC82" s="111"/>
      <c r="AD82" s="117"/>
    </row>
    <row r="83" spans="1:29" ht="111.75" customHeight="1">
      <c r="A83" s="29"/>
      <c r="B83" s="29"/>
      <c r="C83" s="29"/>
      <c r="D83" s="29" t="s">
        <v>59</v>
      </c>
      <c r="E83" s="58"/>
      <c r="F83" s="18" t="s">
        <v>21</v>
      </c>
      <c r="G83" s="21"/>
      <c r="H83" s="21"/>
      <c r="I83" s="22"/>
      <c r="J83" s="133">
        <v>280255</v>
      </c>
      <c r="K83" s="151">
        <f>95251.2+770109+85750+35000</f>
        <v>986110.2</v>
      </c>
      <c r="L83" s="133"/>
      <c r="M83" s="155">
        <f t="shared" si="0"/>
        <v>1266365.2</v>
      </c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02"/>
      <c r="AB83" s="102"/>
      <c r="AC83" s="103"/>
    </row>
    <row r="84" spans="1:30" s="27" customFormat="1" ht="111.75" customHeight="1">
      <c r="A84" s="29"/>
      <c r="B84" s="29"/>
      <c r="C84" s="29"/>
      <c r="D84" s="29" t="s">
        <v>60</v>
      </c>
      <c r="E84" s="58"/>
      <c r="F84" s="18" t="s">
        <v>112</v>
      </c>
      <c r="G84" s="21"/>
      <c r="H84" s="21"/>
      <c r="I84" s="22"/>
      <c r="J84" s="133">
        <v>25360</v>
      </c>
      <c r="K84" s="151">
        <f>16104.08+8232</f>
        <v>24336.08</v>
      </c>
      <c r="L84" s="133"/>
      <c r="M84" s="155">
        <f t="shared" si="0"/>
        <v>49696.08</v>
      </c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18"/>
      <c r="AB84" s="118"/>
      <c r="AC84" s="118"/>
      <c r="AD84" s="109"/>
    </row>
    <row r="85" spans="1:30" s="25" customFormat="1" ht="111.75" customHeight="1">
      <c r="A85" s="29"/>
      <c r="B85" s="29"/>
      <c r="C85" s="29"/>
      <c r="D85" s="29" t="s">
        <v>61</v>
      </c>
      <c r="E85" s="58"/>
      <c r="F85" s="18" t="s">
        <v>113</v>
      </c>
      <c r="G85" s="21"/>
      <c r="H85" s="21"/>
      <c r="I85" s="22"/>
      <c r="J85" s="133">
        <v>900000</v>
      </c>
      <c r="K85" s="151">
        <f>120056+12348+25000</f>
        <v>157404</v>
      </c>
      <c r="L85" s="133"/>
      <c r="M85" s="155">
        <f t="shared" si="0"/>
        <v>1057404</v>
      </c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02"/>
      <c r="AB85" s="110"/>
      <c r="AC85" s="111"/>
      <c r="AD85" s="117"/>
    </row>
    <row r="86" spans="1:29" ht="111.75" customHeight="1">
      <c r="A86" s="28"/>
      <c r="B86" s="28"/>
      <c r="C86" s="29"/>
      <c r="D86" s="29" t="s">
        <v>62</v>
      </c>
      <c r="E86" s="59"/>
      <c r="F86" s="18" t="s">
        <v>22</v>
      </c>
      <c r="G86" s="30"/>
      <c r="H86" s="30"/>
      <c r="I86" s="30"/>
      <c r="J86" s="133">
        <v>700000</v>
      </c>
      <c r="K86" s="151">
        <f>960800+751000+926100+545000</f>
        <v>3182900</v>
      </c>
      <c r="L86" s="133"/>
      <c r="M86" s="155">
        <f t="shared" si="0"/>
        <v>3882900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02"/>
      <c r="AB86" s="110"/>
      <c r="AC86" s="111"/>
    </row>
    <row r="87" spans="1:29" ht="111.75" customHeight="1">
      <c r="A87" s="29"/>
      <c r="B87" s="29"/>
      <c r="C87" s="29"/>
      <c r="D87" s="29" t="s">
        <v>63</v>
      </c>
      <c r="E87" s="58"/>
      <c r="F87" s="18" t="s">
        <v>23</v>
      </c>
      <c r="G87" s="21"/>
      <c r="H87" s="21"/>
      <c r="I87" s="21"/>
      <c r="J87" s="133">
        <v>21000</v>
      </c>
      <c r="K87" s="151">
        <f>16600+30379</f>
        <v>46979</v>
      </c>
      <c r="L87" s="133"/>
      <c r="M87" s="155">
        <f t="shared" si="0"/>
        <v>67979</v>
      </c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02"/>
      <c r="AB87" s="102"/>
      <c r="AC87" s="103"/>
    </row>
    <row r="88" spans="1:29" ht="111.75" customHeight="1">
      <c r="A88" s="29"/>
      <c r="B88" s="29"/>
      <c r="C88" s="29"/>
      <c r="D88" s="29" t="s">
        <v>64</v>
      </c>
      <c r="E88" s="58"/>
      <c r="F88" s="18" t="s">
        <v>114</v>
      </c>
      <c r="G88" s="21"/>
      <c r="H88" s="21"/>
      <c r="I88" s="21"/>
      <c r="J88" s="133">
        <v>21000</v>
      </c>
      <c r="K88" s="151"/>
      <c r="L88" s="133"/>
      <c r="M88" s="155">
        <f t="shared" si="0"/>
        <v>21000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02"/>
      <c r="AB88" s="110"/>
      <c r="AC88" s="111"/>
    </row>
    <row r="89" spans="1:30" s="27" customFormat="1" ht="111.75" customHeight="1">
      <c r="A89" s="28"/>
      <c r="B89" s="28"/>
      <c r="C89" s="29" t="s">
        <v>58</v>
      </c>
      <c r="D89" s="29"/>
      <c r="E89" s="59"/>
      <c r="F89" s="18" t="s">
        <v>115</v>
      </c>
      <c r="G89" s="30"/>
      <c r="H89" s="30"/>
      <c r="I89" s="30"/>
      <c r="J89" s="140">
        <f>SUM(J90:J91)</f>
        <v>0</v>
      </c>
      <c r="K89" s="140">
        <f>SUM(K90:K91)</f>
        <v>32520</v>
      </c>
      <c r="L89" s="140">
        <f>SUM(L90:L91)</f>
        <v>150000</v>
      </c>
      <c r="M89" s="155">
        <f t="shared" si="0"/>
        <v>182520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118"/>
      <c r="AB89" s="118"/>
      <c r="AC89" s="118"/>
      <c r="AD89" s="109"/>
    </row>
    <row r="90" spans="1:30" s="25" customFormat="1" ht="111.75" customHeight="1">
      <c r="A90" s="29"/>
      <c r="B90" s="29"/>
      <c r="C90" s="29"/>
      <c r="D90" s="29" t="s">
        <v>57</v>
      </c>
      <c r="E90" s="58"/>
      <c r="F90" s="18" t="s">
        <v>24</v>
      </c>
      <c r="G90" s="21"/>
      <c r="H90" s="21"/>
      <c r="I90" s="21"/>
      <c r="J90" s="133"/>
      <c r="K90" s="151">
        <f>10000+1500</f>
        <v>11500</v>
      </c>
      <c r="L90" s="133"/>
      <c r="M90" s="155">
        <f t="shared" si="0"/>
        <v>11500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02"/>
      <c r="AB90" s="110"/>
      <c r="AC90" s="111"/>
      <c r="AD90" s="117"/>
    </row>
    <row r="91" spans="1:29" ht="111.75" customHeight="1">
      <c r="A91" s="29"/>
      <c r="B91" s="29"/>
      <c r="C91" s="29"/>
      <c r="D91" s="29" t="s">
        <v>58</v>
      </c>
      <c r="E91" s="58"/>
      <c r="F91" s="18" t="s">
        <v>25</v>
      </c>
      <c r="G91" s="21"/>
      <c r="H91" s="21"/>
      <c r="I91" s="21"/>
      <c r="J91" s="133"/>
      <c r="K91" s="151">
        <f>7820+3000+10200</f>
        <v>21020</v>
      </c>
      <c r="L91" s="142">
        <v>150000</v>
      </c>
      <c r="M91" s="155">
        <f t="shared" si="0"/>
        <v>171020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02"/>
      <c r="AB91" s="102"/>
      <c r="AC91" s="103"/>
    </row>
    <row r="92" spans="1:29" ht="111.75" customHeight="1">
      <c r="A92" s="28"/>
      <c r="B92" s="28"/>
      <c r="C92" s="29" t="s">
        <v>59</v>
      </c>
      <c r="D92" s="29"/>
      <c r="E92" s="59"/>
      <c r="F92" s="18" t="s">
        <v>116</v>
      </c>
      <c r="G92" s="30"/>
      <c r="H92" s="30"/>
      <c r="I92" s="30"/>
      <c r="J92" s="140">
        <f>SUM(J93:J94)</f>
        <v>0</v>
      </c>
      <c r="K92" s="140">
        <f>SUM(K93:K94)</f>
        <v>444990</v>
      </c>
      <c r="L92" s="140">
        <f>SUM(L93:L94)</f>
        <v>32940</v>
      </c>
      <c r="M92" s="155">
        <f t="shared" si="0"/>
        <v>477930</v>
      </c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102"/>
      <c r="AB92" s="102"/>
      <c r="AC92" s="103"/>
    </row>
    <row r="93" spans="1:31" s="46" customFormat="1" ht="111.75" customHeight="1">
      <c r="A93" s="29"/>
      <c r="B93" s="29"/>
      <c r="C93" s="29"/>
      <c r="D93" s="29" t="s">
        <v>57</v>
      </c>
      <c r="E93" s="58"/>
      <c r="F93" s="18" t="s">
        <v>26</v>
      </c>
      <c r="G93" s="21"/>
      <c r="H93" s="21"/>
      <c r="I93" s="21"/>
      <c r="J93" s="133"/>
      <c r="K93" s="133">
        <f>325350+51740+67900</f>
        <v>444990</v>
      </c>
      <c r="L93" s="142">
        <v>32940</v>
      </c>
      <c r="M93" s="155">
        <f aca="true" t="shared" si="3" ref="M93:M156">J93+K93+L93</f>
        <v>477930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5"/>
      <c r="AB93" s="118"/>
      <c r="AC93" s="110"/>
      <c r="AD93" s="110"/>
      <c r="AE93" s="32"/>
    </row>
    <row r="94" spans="1:29" ht="111.75" customHeight="1">
      <c r="A94" s="29"/>
      <c r="B94" s="29"/>
      <c r="C94" s="29"/>
      <c r="D94" s="29" t="s">
        <v>58</v>
      </c>
      <c r="E94" s="58"/>
      <c r="F94" s="18" t="s">
        <v>27</v>
      </c>
      <c r="G94" s="21"/>
      <c r="H94" s="21"/>
      <c r="I94" s="21"/>
      <c r="J94" s="133"/>
      <c r="K94" s="133"/>
      <c r="L94" s="133"/>
      <c r="M94" s="155">
        <f t="shared" si="3"/>
        <v>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02"/>
      <c r="AB94" s="118"/>
      <c r="AC94" s="118"/>
    </row>
    <row r="95" spans="1:29" ht="111.75" customHeight="1">
      <c r="A95" s="28"/>
      <c r="B95" s="28"/>
      <c r="C95" s="29" t="s">
        <v>60</v>
      </c>
      <c r="D95" s="29"/>
      <c r="E95" s="58"/>
      <c r="F95" s="18" t="s">
        <v>117</v>
      </c>
      <c r="G95" s="21"/>
      <c r="H95" s="21"/>
      <c r="I95" s="21"/>
      <c r="J95" s="140">
        <f>SUM(J96:J99)</f>
        <v>4800</v>
      </c>
      <c r="K95" s="140">
        <f>SUM(K96:K99)</f>
        <v>28059.5</v>
      </c>
      <c r="L95" s="140">
        <f>SUM(L96:L99)</f>
        <v>180000</v>
      </c>
      <c r="M95" s="155">
        <f t="shared" si="3"/>
        <v>212859.5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102"/>
      <c r="AB95" s="118"/>
      <c r="AC95" s="118"/>
    </row>
    <row r="96" spans="1:30" s="27" customFormat="1" ht="111.75" customHeight="1">
      <c r="A96" s="29"/>
      <c r="B96" s="29"/>
      <c r="C96" s="29"/>
      <c r="D96" s="29" t="s">
        <v>57</v>
      </c>
      <c r="E96" s="58"/>
      <c r="F96" s="147" t="s">
        <v>28</v>
      </c>
      <c r="G96" s="21"/>
      <c r="H96" s="21"/>
      <c r="I96" s="21"/>
      <c r="J96" s="133">
        <v>3000</v>
      </c>
      <c r="K96" s="133">
        <f>10560+2572.5+720</f>
        <v>13852.5</v>
      </c>
      <c r="L96" s="133">
        <v>140000</v>
      </c>
      <c r="M96" s="155">
        <f t="shared" si="3"/>
        <v>156852.5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8"/>
      <c r="AB96" s="118"/>
      <c r="AC96" s="118"/>
      <c r="AD96" s="109"/>
    </row>
    <row r="97" spans="1:29" ht="111.75" customHeight="1">
      <c r="A97" s="29"/>
      <c r="B97" s="29"/>
      <c r="C97" s="29"/>
      <c r="D97" s="29" t="s">
        <v>58</v>
      </c>
      <c r="E97" s="58"/>
      <c r="F97" s="148" t="s">
        <v>29</v>
      </c>
      <c r="G97" s="21"/>
      <c r="H97" s="21"/>
      <c r="I97" s="21"/>
      <c r="J97" s="133"/>
      <c r="K97" s="133">
        <f>3000</f>
        <v>3000</v>
      </c>
      <c r="L97" s="133"/>
      <c r="M97" s="155">
        <f t="shared" si="3"/>
        <v>3000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02"/>
      <c r="AB97" s="102"/>
      <c r="AC97" s="103"/>
    </row>
    <row r="98" spans="1:30" s="25" customFormat="1" ht="111.75" customHeight="1">
      <c r="A98" s="29"/>
      <c r="B98" s="29"/>
      <c r="C98" s="29"/>
      <c r="D98" s="29" t="s">
        <v>59</v>
      </c>
      <c r="E98" s="58"/>
      <c r="F98" s="148" t="s">
        <v>30</v>
      </c>
      <c r="G98" s="21"/>
      <c r="H98" s="21"/>
      <c r="I98" s="21"/>
      <c r="J98" s="133"/>
      <c r="K98" s="133"/>
      <c r="L98" s="133"/>
      <c r="M98" s="155">
        <f t="shared" si="3"/>
        <v>0</v>
      </c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02"/>
      <c r="AB98" s="110"/>
      <c r="AC98" s="111"/>
      <c r="AD98" s="117"/>
    </row>
    <row r="99" spans="1:29" ht="112.5" customHeight="1">
      <c r="A99" s="29"/>
      <c r="B99" s="29"/>
      <c r="C99" s="29"/>
      <c r="D99" s="29" t="s">
        <v>60</v>
      </c>
      <c r="E99" s="58"/>
      <c r="F99" s="148" t="s">
        <v>31</v>
      </c>
      <c r="G99" s="21"/>
      <c r="H99" s="21"/>
      <c r="I99" s="21"/>
      <c r="J99" s="133">
        <v>1800</v>
      </c>
      <c r="K99" s="133">
        <f>500+7620+3087</f>
        <v>11207</v>
      </c>
      <c r="L99" s="133">
        <v>40000</v>
      </c>
      <c r="M99" s="155">
        <f t="shared" si="3"/>
        <v>53007</v>
      </c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02"/>
      <c r="AB99" s="110"/>
      <c r="AC99" s="111"/>
    </row>
    <row r="100" spans="1:30" s="27" customFormat="1" ht="171.75" customHeight="1">
      <c r="A100" s="28"/>
      <c r="B100" s="28"/>
      <c r="C100" s="29" t="s">
        <v>61</v>
      </c>
      <c r="D100" s="29"/>
      <c r="E100" s="58"/>
      <c r="F100" s="16" t="s">
        <v>118</v>
      </c>
      <c r="G100" s="21"/>
      <c r="H100" s="21"/>
      <c r="I100" s="21"/>
      <c r="J100" s="140">
        <f>J101+J102+J103+J109+J110+J111+J112+J113</f>
        <v>2232240</v>
      </c>
      <c r="K100" s="140">
        <f>K101+K102+K103+K109+K110+K111+K112+K113</f>
        <v>90000</v>
      </c>
      <c r="L100" s="140">
        <f>L101+L102+L103+L109+L110+L111+L112+L113</f>
        <v>0</v>
      </c>
      <c r="M100" s="155">
        <f t="shared" si="3"/>
        <v>2322240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118"/>
      <c r="AB100" s="118"/>
      <c r="AC100" s="118"/>
      <c r="AD100" s="109"/>
    </row>
    <row r="101" spans="1:29" ht="111.75" customHeight="1">
      <c r="A101" s="29"/>
      <c r="B101" s="29"/>
      <c r="C101" s="29"/>
      <c r="D101" s="29" t="s">
        <v>57</v>
      </c>
      <c r="E101" s="59"/>
      <c r="F101" s="18" t="s">
        <v>119</v>
      </c>
      <c r="G101" s="21"/>
      <c r="H101" s="21"/>
      <c r="I101" s="21"/>
      <c r="J101" s="133">
        <v>2232240</v>
      </c>
      <c r="K101" s="133">
        <v>40000</v>
      </c>
      <c r="L101" s="133"/>
      <c r="M101" s="155">
        <f t="shared" si="3"/>
        <v>2272240</v>
      </c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02"/>
      <c r="AB101" s="110"/>
      <c r="AC101" s="111"/>
    </row>
    <row r="102" spans="1:29" ht="111.75" customHeight="1">
      <c r="A102" s="29"/>
      <c r="B102" s="29"/>
      <c r="C102" s="29"/>
      <c r="D102" s="29" t="s">
        <v>58</v>
      </c>
      <c r="E102" s="59"/>
      <c r="F102" s="18" t="s">
        <v>120</v>
      </c>
      <c r="G102" s="21"/>
      <c r="H102" s="21"/>
      <c r="I102" s="21"/>
      <c r="J102" s="133"/>
      <c r="K102" s="133"/>
      <c r="L102" s="133"/>
      <c r="M102" s="155">
        <f t="shared" si="3"/>
        <v>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02"/>
      <c r="AB102" s="110"/>
      <c r="AC102" s="111"/>
    </row>
    <row r="103" spans="1:30" s="87" customFormat="1" ht="111.75" customHeight="1">
      <c r="A103" s="29"/>
      <c r="B103" s="29"/>
      <c r="C103" s="29"/>
      <c r="D103" s="29" t="s">
        <v>59</v>
      </c>
      <c r="E103" s="59"/>
      <c r="F103" s="18" t="s">
        <v>121</v>
      </c>
      <c r="G103" s="30"/>
      <c r="H103" s="30"/>
      <c r="I103" s="30"/>
      <c r="J103" s="141">
        <f>SUM(J104:J108)</f>
        <v>0</v>
      </c>
      <c r="K103" s="141">
        <f>SUM(K104:K108)</f>
        <v>0</v>
      </c>
      <c r="L103" s="141">
        <f>SUM(L104:L108)</f>
        <v>0</v>
      </c>
      <c r="M103" s="155">
        <f t="shared" si="3"/>
        <v>0</v>
      </c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20"/>
      <c r="AB103" s="118"/>
      <c r="AC103" s="108"/>
      <c r="AD103" s="126"/>
    </row>
    <row r="104" spans="1:30" s="27" customFormat="1" ht="111.75" customHeight="1">
      <c r="A104" s="60"/>
      <c r="B104" s="60"/>
      <c r="C104" s="60"/>
      <c r="D104" s="60"/>
      <c r="E104" s="61" t="s">
        <v>57</v>
      </c>
      <c r="F104" s="44" t="s">
        <v>122</v>
      </c>
      <c r="G104" s="45"/>
      <c r="H104" s="45"/>
      <c r="I104" s="45"/>
      <c r="J104" s="133"/>
      <c r="K104" s="133"/>
      <c r="L104" s="133"/>
      <c r="M104" s="155">
        <f t="shared" si="3"/>
        <v>0</v>
      </c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18"/>
      <c r="AB104" s="118"/>
      <c r="AC104" s="118"/>
      <c r="AD104" s="109"/>
    </row>
    <row r="105" spans="1:29" ht="111.75" customHeight="1">
      <c r="A105" s="60"/>
      <c r="B105" s="60"/>
      <c r="C105" s="60"/>
      <c r="D105" s="60"/>
      <c r="E105" s="61" t="s">
        <v>58</v>
      </c>
      <c r="F105" s="44" t="s">
        <v>123</v>
      </c>
      <c r="G105" s="45"/>
      <c r="H105" s="45"/>
      <c r="I105" s="45"/>
      <c r="J105" s="133"/>
      <c r="K105" s="133"/>
      <c r="L105" s="133"/>
      <c r="M105" s="155">
        <f t="shared" si="3"/>
        <v>0</v>
      </c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02"/>
      <c r="AB105" s="110"/>
      <c r="AC105" s="111"/>
    </row>
    <row r="106" spans="1:29" ht="111.75" customHeight="1">
      <c r="A106" s="60"/>
      <c r="B106" s="60"/>
      <c r="C106" s="60"/>
      <c r="D106" s="60"/>
      <c r="E106" s="61" t="s">
        <v>59</v>
      </c>
      <c r="F106" s="44" t="s">
        <v>124</v>
      </c>
      <c r="G106" s="45"/>
      <c r="H106" s="45"/>
      <c r="I106" s="45"/>
      <c r="J106" s="133"/>
      <c r="K106" s="133"/>
      <c r="L106" s="133"/>
      <c r="M106" s="155">
        <f t="shared" si="3"/>
        <v>0</v>
      </c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02"/>
      <c r="AB106" s="110"/>
      <c r="AC106" s="111"/>
    </row>
    <row r="107" spans="1:29" ht="111.75" customHeight="1">
      <c r="A107" s="60"/>
      <c r="B107" s="60"/>
      <c r="C107" s="60"/>
      <c r="D107" s="60"/>
      <c r="E107" s="61" t="s">
        <v>60</v>
      </c>
      <c r="F107" s="44" t="s">
        <v>125</v>
      </c>
      <c r="G107" s="45"/>
      <c r="H107" s="45"/>
      <c r="I107" s="45"/>
      <c r="J107" s="133"/>
      <c r="K107" s="133"/>
      <c r="L107" s="133"/>
      <c r="M107" s="155">
        <f t="shared" si="3"/>
        <v>0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02"/>
      <c r="AB107" s="110"/>
      <c r="AC107" s="111"/>
    </row>
    <row r="108" spans="1:29" ht="111.75" customHeight="1">
      <c r="A108" s="60"/>
      <c r="B108" s="60"/>
      <c r="C108" s="60"/>
      <c r="D108" s="60"/>
      <c r="E108" s="61" t="s">
        <v>61</v>
      </c>
      <c r="F108" s="44" t="s">
        <v>126</v>
      </c>
      <c r="G108" s="45"/>
      <c r="H108" s="45"/>
      <c r="I108" s="45"/>
      <c r="J108" s="133"/>
      <c r="K108" s="133"/>
      <c r="L108" s="133"/>
      <c r="M108" s="155">
        <f t="shared" si="3"/>
        <v>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02"/>
      <c r="AB108" s="110"/>
      <c r="AC108" s="111"/>
    </row>
    <row r="109" spans="1:29" ht="111.75" customHeight="1">
      <c r="A109" s="60"/>
      <c r="B109" s="60"/>
      <c r="C109" s="60"/>
      <c r="D109" s="60" t="s">
        <v>60</v>
      </c>
      <c r="E109" s="61"/>
      <c r="F109" s="62" t="s">
        <v>127</v>
      </c>
      <c r="G109" s="45"/>
      <c r="H109" s="45"/>
      <c r="I109" s="45"/>
      <c r="J109" s="133"/>
      <c r="K109" s="151">
        <f>30000</f>
        <v>30000</v>
      </c>
      <c r="L109" s="133"/>
      <c r="M109" s="155">
        <f t="shared" si="3"/>
        <v>30000</v>
      </c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02"/>
      <c r="AB109" s="102"/>
      <c r="AC109" s="103"/>
    </row>
    <row r="110" spans="1:29" ht="111.75" customHeight="1">
      <c r="A110" s="60"/>
      <c r="B110" s="60"/>
      <c r="C110" s="60"/>
      <c r="D110" s="60" t="s">
        <v>61</v>
      </c>
      <c r="E110" s="61"/>
      <c r="F110" s="62" t="s">
        <v>128</v>
      </c>
      <c r="G110" s="45"/>
      <c r="H110" s="45"/>
      <c r="I110" s="45"/>
      <c r="J110" s="133"/>
      <c r="K110" s="133"/>
      <c r="L110" s="133"/>
      <c r="M110" s="155">
        <f t="shared" si="3"/>
        <v>0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02"/>
      <c r="AB110" s="102"/>
      <c r="AC110" s="103"/>
    </row>
    <row r="111" spans="1:29" ht="111.75" customHeight="1">
      <c r="A111" s="60"/>
      <c r="B111" s="60"/>
      <c r="C111" s="60"/>
      <c r="D111" s="60" t="s">
        <v>62</v>
      </c>
      <c r="E111" s="61"/>
      <c r="F111" s="62" t="s">
        <v>129</v>
      </c>
      <c r="G111" s="45"/>
      <c r="H111" s="45"/>
      <c r="I111" s="45"/>
      <c r="J111" s="133"/>
      <c r="K111" s="133"/>
      <c r="L111" s="133"/>
      <c r="M111" s="155">
        <f t="shared" si="3"/>
        <v>0</v>
      </c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02"/>
      <c r="AB111" s="102"/>
      <c r="AC111" s="103"/>
    </row>
    <row r="112" spans="1:29" ht="111.75" customHeight="1">
      <c r="A112" s="29"/>
      <c r="B112" s="29"/>
      <c r="C112" s="29"/>
      <c r="D112" s="29" t="s">
        <v>63</v>
      </c>
      <c r="E112" s="58"/>
      <c r="F112" s="18" t="s">
        <v>130</v>
      </c>
      <c r="G112" s="21"/>
      <c r="H112" s="21"/>
      <c r="I112" s="21"/>
      <c r="J112" s="133"/>
      <c r="K112" s="133"/>
      <c r="L112" s="133"/>
      <c r="M112" s="155">
        <f t="shared" si="3"/>
        <v>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02"/>
      <c r="AB112" s="102"/>
      <c r="AC112" s="103"/>
    </row>
    <row r="113" spans="1:29" ht="111.75" customHeight="1">
      <c r="A113" s="29"/>
      <c r="B113" s="29"/>
      <c r="C113" s="29"/>
      <c r="D113" s="29" t="s">
        <v>64</v>
      </c>
      <c r="E113" s="58"/>
      <c r="F113" s="18" t="s">
        <v>32</v>
      </c>
      <c r="G113" s="21"/>
      <c r="H113" s="21"/>
      <c r="I113" s="21"/>
      <c r="J113" s="133"/>
      <c r="K113" s="133">
        <v>20000</v>
      </c>
      <c r="L113" s="133"/>
      <c r="M113" s="155">
        <f t="shared" si="3"/>
        <v>20000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02"/>
      <c r="AB113" s="102"/>
      <c r="AC113" s="103"/>
    </row>
    <row r="114" spans="1:29" ht="111.75" customHeight="1">
      <c r="A114" s="28"/>
      <c r="B114" s="28"/>
      <c r="C114" s="29" t="s">
        <v>62</v>
      </c>
      <c r="D114" s="29"/>
      <c r="E114" s="58"/>
      <c r="F114" s="18" t="s">
        <v>131</v>
      </c>
      <c r="G114" s="21"/>
      <c r="H114" s="21"/>
      <c r="I114" s="21"/>
      <c r="J114" s="140">
        <f>SUM(J115:J119)</f>
        <v>5228000</v>
      </c>
      <c r="K114" s="140">
        <f>SUM(K115:K119)</f>
        <v>0</v>
      </c>
      <c r="L114" s="140">
        <f>SUM(L115:L119)</f>
        <v>0</v>
      </c>
      <c r="M114" s="155">
        <f t="shared" si="3"/>
        <v>5228000</v>
      </c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102"/>
      <c r="AB114" s="102"/>
      <c r="AC114" s="103"/>
    </row>
    <row r="115" spans="1:29" ht="111.75" customHeight="1">
      <c r="A115" s="29"/>
      <c r="B115" s="29"/>
      <c r="C115" s="29"/>
      <c r="D115" s="29" t="s">
        <v>57</v>
      </c>
      <c r="E115" s="58"/>
      <c r="F115" s="18" t="s">
        <v>251</v>
      </c>
      <c r="G115" s="21"/>
      <c r="H115" s="21"/>
      <c r="I115" s="21"/>
      <c r="J115" s="133"/>
      <c r="K115" s="133"/>
      <c r="L115" s="133"/>
      <c r="M115" s="155">
        <f t="shared" si="3"/>
        <v>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20"/>
      <c r="AB115" s="120"/>
      <c r="AC115" s="120"/>
    </row>
    <row r="116" spans="1:30" s="27" customFormat="1" ht="111.75" customHeight="1">
      <c r="A116" s="29"/>
      <c r="B116" s="29"/>
      <c r="C116" s="29"/>
      <c r="D116" s="29" t="s">
        <v>58</v>
      </c>
      <c r="E116" s="58"/>
      <c r="F116" s="18" t="s">
        <v>132</v>
      </c>
      <c r="G116" s="21"/>
      <c r="H116" s="21"/>
      <c r="I116" s="21"/>
      <c r="J116" s="133">
        <v>1640000</v>
      </c>
      <c r="K116" s="133"/>
      <c r="L116" s="133"/>
      <c r="M116" s="155">
        <f t="shared" si="3"/>
        <v>1640000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8"/>
      <c r="AB116" s="118"/>
      <c r="AC116" s="118"/>
      <c r="AD116" s="109"/>
    </row>
    <row r="117" spans="1:29" ht="111.75" customHeight="1">
      <c r="A117" s="29"/>
      <c r="B117" s="29"/>
      <c r="C117" s="29"/>
      <c r="D117" s="29" t="s">
        <v>59</v>
      </c>
      <c r="E117" s="58"/>
      <c r="F117" s="18" t="s">
        <v>133</v>
      </c>
      <c r="G117" s="21"/>
      <c r="H117" s="21"/>
      <c r="I117" s="21"/>
      <c r="J117" s="133">
        <v>3588000</v>
      </c>
      <c r="K117" s="133"/>
      <c r="L117" s="133"/>
      <c r="M117" s="155">
        <f t="shared" si="3"/>
        <v>3588000</v>
      </c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02"/>
      <c r="AB117" s="110"/>
      <c r="AC117" s="111"/>
    </row>
    <row r="118" spans="1:29" ht="111.75" customHeight="1">
      <c r="A118" s="29"/>
      <c r="B118" s="29"/>
      <c r="C118" s="29"/>
      <c r="D118" s="29" t="s">
        <v>60</v>
      </c>
      <c r="E118" s="58"/>
      <c r="F118" s="18" t="s">
        <v>134</v>
      </c>
      <c r="G118" s="21"/>
      <c r="H118" s="21"/>
      <c r="I118" s="21"/>
      <c r="J118" s="133"/>
      <c r="K118" s="133"/>
      <c r="L118" s="133"/>
      <c r="M118" s="155">
        <f t="shared" si="3"/>
        <v>0</v>
      </c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02"/>
      <c r="AB118" s="102"/>
      <c r="AC118" s="103"/>
    </row>
    <row r="119" spans="1:29" ht="111.75" customHeight="1">
      <c r="A119" s="29"/>
      <c r="B119" s="29"/>
      <c r="C119" s="29"/>
      <c r="D119" s="29" t="s">
        <v>65</v>
      </c>
      <c r="E119" s="58"/>
      <c r="F119" s="18" t="s">
        <v>252</v>
      </c>
      <c r="G119" s="21"/>
      <c r="H119" s="21"/>
      <c r="I119" s="21"/>
      <c r="J119" s="133"/>
      <c r="K119" s="133"/>
      <c r="L119" s="133"/>
      <c r="M119" s="155">
        <f t="shared" si="3"/>
        <v>0</v>
      </c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02"/>
      <c r="AB119" s="102"/>
      <c r="AC119" s="103"/>
    </row>
    <row r="120" spans="1:29" ht="111.75" customHeight="1">
      <c r="A120" s="28"/>
      <c r="B120" s="28"/>
      <c r="C120" s="29" t="s">
        <v>63</v>
      </c>
      <c r="D120" s="29"/>
      <c r="E120" s="58"/>
      <c r="F120" s="18" t="s">
        <v>135</v>
      </c>
      <c r="G120" s="21"/>
      <c r="H120" s="21"/>
      <c r="I120" s="21"/>
      <c r="J120" s="140">
        <f>J121+J129+J136</f>
        <v>1050000</v>
      </c>
      <c r="K120" s="140">
        <f>K121+K129+K136</f>
        <v>37000</v>
      </c>
      <c r="L120" s="140">
        <f>L121+L129+L136</f>
        <v>0</v>
      </c>
      <c r="M120" s="155">
        <f t="shared" si="3"/>
        <v>1087000</v>
      </c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102"/>
      <c r="AB120" s="102"/>
      <c r="AC120" s="103"/>
    </row>
    <row r="121" spans="1:30" s="31" customFormat="1" ht="111.75" customHeight="1">
      <c r="A121" s="29"/>
      <c r="B121" s="29"/>
      <c r="C121" s="29"/>
      <c r="D121" s="29" t="s">
        <v>57</v>
      </c>
      <c r="E121" s="59"/>
      <c r="F121" s="18" t="s">
        <v>253</v>
      </c>
      <c r="G121" s="30"/>
      <c r="H121" s="30"/>
      <c r="I121" s="30"/>
      <c r="J121" s="140">
        <f>SUM(J122:J128)</f>
        <v>0</v>
      </c>
      <c r="K121" s="140">
        <f>SUM(K122:K128)</f>
        <v>37000</v>
      </c>
      <c r="L121" s="140">
        <f>SUM(L122:L128)</f>
        <v>0</v>
      </c>
      <c r="M121" s="155">
        <f t="shared" si="3"/>
        <v>37000</v>
      </c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118"/>
      <c r="AB121" s="118"/>
      <c r="AC121" s="128"/>
      <c r="AD121" s="119"/>
    </row>
    <row r="122" spans="1:29" ht="111.75" customHeight="1">
      <c r="A122" s="29"/>
      <c r="B122" s="29"/>
      <c r="C122" s="29"/>
      <c r="D122" s="29"/>
      <c r="E122" s="58" t="s">
        <v>57</v>
      </c>
      <c r="F122" s="44" t="s">
        <v>136</v>
      </c>
      <c r="G122" s="21"/>
      <c r="H122" s="21"/>
      <c r="I122" s="21"/>
      <c r="J122" s="133"/>
      <c r="K122" s="133"/>
      <c r="L122" s="133"/>
      <c r="M122" s="155">
        <f t="shared" si="3"/>
        <v>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02"/>
      <c r="AB122" s="102"/>
      <c r="AC122" s="103"/>
    </row>
    <row r="123" spans="1:29" ht="111.75" customHeight="1">
      <c r="A123" s="29"/>
      <c r="B123" s="29"/>
      <c r="C123" s="29"/>
      <c r="D123" s="29"/>
      <c r="E123" s="58" t="s">
        <v>58</v>
      </c>
      <c r="F123" s="44" t="s">
        <v>137</v>
      </c>
      <c r="G123" s="21"/>
      <c r="H123" s="21"/>
      <c r="I123" s="21"/>
      <c r="J123" s="133"/>
      <c r="K123" s="133"/>
      <c r="L123" s="133"/>
      <c r="M123" s="155">
        <f t="shared" si="3"/>
        <v>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02"/>
      <c r="AB123" s="102"/>
      <c r="AC123" s="103"/>
    </row>
    <row r="124" spans="1:29" ht="111.75" customHeight="1">
      <c r="A124" s="29"/>
      <c r="B124" s="29"/>
      <c r="C124" s="29"/>
      <c r="D124" s="29"/>
      <c r="E124" s="58" t="s">
        <v>59</v>
      </c>
      <c r="F124" s="44" t="s">
        <v>138</v>
      </c>
      <c r="G124" s="21"/>
      <c r="H124" s="21"/>
      <c r="I124" s="21"/>
      <c r="J124" s="133"/>
      <c r="K124" s="133">
        <f>12000+25000</f>
        <v>37000</v>
      </c>
      <c r="L124" s="133"/>
      <c r="M124" s="155">
        <f t="shared" si="3"/>
        <v>37000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02"/>
      <c r="AB124" s="102"/>
      <c r="AC124" s="103"/>
    </row>
    <row r="125" spans="1:29" ht="111.75" customHeight="1">
      <c r="A125" s="29"/>
      <c r="B125" s="29"/>
      <c r="C125" s="29"/>
      <c r="D125" s="29"/>
      <c r="E125" s="58" t="s">
        <v>60</v>
      </c>
      <c r="F125" s="44" t="s">
        <v>139</v>
      </c>
      <c r="G125" s="21"/>
      <c r="H125" s="21"/>
      <c r="I125" s="21"/>
      <c r="J125" s="133"/>
      <c r="K125" s="133"/>
      <c r="L125" s="133"/>
      <c r="M125" s="155">
        <f t="shared" si="3"/>
        <v>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02"/>
      <c r="AB125" s="102"/>
      <c r="AC125" s="103"/>
    </row>
    <row r="126" spans="1:30" s="27" customFormat="1" ht="111.75" customHeight="1">
      <c r="A126" s="29"/>
      <c r="B126" s="29"/>
      <c r="C126" s="29"/>
      <c r="D126" s="29"/>
      <c r="E126" s="58" t="s">
        <v>61</v>
      </c>
      <c r="F126" s="44" t="s">
        <v>140</v>
      </c>
      <c r="G126" s="21"/>
      <c r="H126" s="21"/>
      <c r="I126" s="21"/>
      <c r="J126" s="133"/>
      <c r="K126" s="133"/>
      <c r="L126" s="133"/>
      <c r="M126" s="155">
        <f t="shared" si="3"/>
        <v>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8"/>
      <c r="AB126" s="118"/>
      <c r="AC126" s="118"/>
      <c r="AD126" s="109"/>
    </row>
    <row r="127" spans="1:29" ht="111.75" customHeight="1">
      <c r="A127" s="29"/>
      <c r="B127" s="29"/>
      <c r="C127" s="29"/>
      <c r="D127" s="29"/>
      <c r="E127" s="58" t="s">
        <v>62</v>
      </c>
      <c r="F127" s="44" t="s">
        <v>141</v>
      </c>
      <c r="G127" s="21"/>
      <c r="H127" s="21"/>
      <c r="I127" s="21"/>
      <c r="J127" s="133"/>
      <c r="K127" s="133"/>
      <c r="L127" s="133"/>
      <c r="M127" s="155">
        <f t="shared" si="3"/>
        <v>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02"/>
      <c r="AB127" s="110"/>
      <c r="AC127" s="111"/>
    </row>
    <row r="128" spans="1:29" ht="111.75" customHeight="1">
      <c r="A128" s="29"/>
      <c r="B128" s="29"/>
      <c r="C128" s="29"/>
      <c r="D128" s="29"/>
      <c r="E128" s="58" t="s">
        <v>63</v>
      </c>
      <c r="F128" s="44" t="s">
        <v>142</v>
      </c>
      <c r="G128" s="21"/>
      <c r="H128" s="21"/>
      <c r="I128" s="21"/>
      <c r="J128" s="133"/>
      <c r="K128" s="133"/>
      <c r="L128" s="133"/>
      <c r="M128" s="155">
        <f t="shared" si="3"/>
        <v>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02"/>
      <c r="AB128" s="110"/>
      <c r="AC128" s="111"/>
    </row>
    <row r="129" spans="1:29" ht="111.75" customHeight="1">
      <c r="A129" s="29"/>
      <c r="B129" s="29"/>
      <c r="C129" s="29"/>
      <c r="D129" s="29" t="s">
        <v>58</v>
      </c>
      <c r="E129" s="58"/>
      <c r="F129" s="18" t="s">
        <v>143</v>
      </c>
      <c r="G129" s="21"/>
      <c r="H129" s="21"/>
      <c r="I129" s="21"/>
      <c r="J129" s="140">
        <f>SUM(J130:J135)</f>
        <v>1050000</v>
      </c>
      <c r="K129" s="140">
        <f>SUM(K130:K135)</f>
        <v>0</v>
      </c>
      <c r="L129" s="140">
        <f>SUM(L130:L135)</f>
        <v>0</v>
      </c>
      <c r="M129" s="155">
        <f t="shared" si="3"/>
        <v>1050000</v>
      </c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102"/>
      <c r="AB129" s="110"/>
      <c r="AC129" s="111"/>
    </row>
    <row r="130" spans="1:29" ht="111.75" customHeight="1">
      <c r="A130" s="29"/>
      <c r="B130" s="29"/>
      <c r="C130" s="29"/>
      <c r="D130" s="29"/>
      <c r="E130" s="58" t="s">
        <v>57</v>
      </c>
      <c r="F130" s="44" t="s">
        <v>254</v>
      </c>
      <c r="G130" s="21"/>
      <c r="H130" s="21"/>
      <c r="I130" s="21"/>
      <c r="J130" s="133">
        <v>145000</v>
      </c>
      <c r="K130" s="133"/>
      <c r="L130" s="133"/>
      <c r="M130" s="155">
        <f t="shared" si="3"/>
        <v>145000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02"/>
      <c r="AB130" s="110"/>
      <c r="AC130" s="111"/>
    </row>
    <row r="131" spans="1:29" ht="111.75" customHeight="1">
      <c r="A131" s="29"/>
      <c r="B131" s="29"/>
      <c r="C131" s="29"/>
      <c r="D131" s="29"/>
      <c r="E131" s="58" t="s">
        <v>58</v>
      </c>
      <c r="F131" s="44" t="s">
        <v>144</v>
      </c>
      <c r="G131" s="21"/>
      <c r="H131" s="21"/>
      <c r="I131" s="21"/>
      <c r="J131" s="133">
        <v>15000</v>
      </c>
      <c r="K131" s="133"/>
      <c r="L131" s="133"/>
      <c r="M131" s="155">
        <f t="shared" si="3"/>
        <v>15000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02"/>
      <c r="AB131" s="102"/>
      <c r="AC131" s="103"/>
    </row>
    <row r="132" spans="1:29" ht="111.75" customHeight="1">
      <c r="A132" s="29"/>
      <c r="B132" s="29"/>
      <c r="C132" s="29"/>
      <c r="D132" s="29"/>
      <c r="E132" s="58" t="s">
        <v>59</v>
      </c>
      <c r="F132" s="44" t="s">
        <v>255</v>
      </c>
      <c r="G132" s="21"/>
      <c r="H132" s="21"/>
      <c r="I132" s="21"/>
      <c r="J132" s="133"/>
      <c r="K132" s="133"/>
      <c r="L132" s="133"/>
      <c r="M132" s="155">
        <f t="shared" si="3"/>
        <v>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02"/>
      <c r="AB132" s="110"/>
      <c r="AC132" s="111"/>
    </row>
    <row r="133" spans="1:30" s="27" customFormat="1" ht="111.75" customHeight="1">
      <c r="A133" s="29"/>
      <c r="B133" s="29"/>
      <c r="C133" s="29"/>
      <c r="D133" s="29"/>
      <c r="E133" s="58" t="s">
        <v>60</v>
      </c>
      <c r="F133" s="44" t="s">
        <v>145</v>
      </c>
      <c r="G133" s="21"/>
      <c r="H133" s="21"/>
      <c r="I133" s="21"/>
      <c r="J133" s="133"/>
      <c r="K133" s="133"/>
      <c r="L133" s="133"/>
      <c r="M133" s="155">
        <f t="shared" si="3"/>
        <v>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8"/>
      <c r="AB133" s="118"/>
      <c r="AC133" s="118"/>
      <c r="AD133" s="109"/>
    </row>
    <row r="134" spans="1:30" s="25" customFormat="1" ht="111.75" customHeight="1">
      <c r="A134" s="29"/>
      <c r="B134" s="29"/>
      <c r="C134" s="29"/>
      <c r="D134" s="29"/>
      <c r="E134" s="58" t="s">
        <v>61</v>
      </c>
      <c r="F134" s="44" t="s">
        <v>256</v>
      </c>
      <c r="G134" s="21"/>
      <c r="H134" s="21"/>
      <c r="I134" s="21"/>
      <c r="J134" s="133"/>
      <c r="K134" s="133"/>
      <c r="L134" s="133"/>
      <c r="M134" s="155">
        <f t="shared" si="3"/>
        <v>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02"/>
      <c r="AB134" s="110"/>
      <c r="AC134" s="111"/>
      <c r="AD134" s="117"/>
    </row>
    <row r="135" spans="1:29" ht="111.75" customHeight="1">
      <c r="A135" s="29"/>
      <c r="B135" s="29"/>
      <c r="C135" s="29"/>
      <c r="D135" s="29"/>
      <c r="E135" s="58" t="s">
        <v>62</v>
      </c>
      <c r="F135" s="44" t="s">
        <v>146</v>
      </c>
      <c r="G135" s="21"/>
      <c r="H135" s="21"/>
      <c r="I135" s="21"/>
      <c r="J135" s="133">
        <v>890000</v>
      </c>
      <c r="K135" s="133"/>
      <c r="L135" s="133"/>
      <c r="M135" s="155">
        <f t="shared" si="3"/>
        <v>890000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02"/>
      <c r="AB135" s="110"/>
      <c r="AC135" s="111"/>
    </row>
    <row r="136" spans="1:29" ht="111.75" customHeight="1">
      <c r="A136" s="29"/>
      <c r="B136" s="29"/>
      <c r="C136" s="29"/>
      <c r="D136" s="29" t="s">
        <v>59</v>
      </c>
      <c r="E136" s="58"/>
      <c r="F136" s="18" t="s">
        <v>147</v>
      </c>
      <c r="G136" s="21"/>
      <c r="H136" s="21"/>
      <c r="I136" s="21"/>
      <c r="J136" s="133"/>
      <c r="K136" s="133"/>
      <c r="L136" s="133"/>
      <c r="M136" s="155">
        <f t="shared" si="3"/>
        <v>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02"/>
      <c r="AB136" s="110"/>
      <c r="AC136" s="111"/>
    </row>
    <row r="137" spans="1:29" ht="111.75" customHeight="1">
      <c r="A137" s="28"/>
      <c r="B137" s="28"/>
      <c r="C137" s="29" t="s">
        <v>64</v>
      </c>
      <c r="D137" s="29"/>
      <c r="E137" s="58"/>
      <c r="F137" s="18" t="s">
        <v>257</v>
      </c>
      <c r="G137" s="21"/>
      <c r="H137" s="21"/>
      <c r="I137" s="21"/>
      <c r="J137" s="140">
        <f>J138+J139+J140+J141+J142+J146+J149+J156+J160</f>
        <v>443760</v>
      </c>
      <c r="K137" s="140">
        <f>K138+K139+K140+K141+K142+K146+K149+K156+K160</f>
        <v>334275</v>
      </c>
      <c r="L137" s="140">
        <f>L138+L139+L140+L141+L142+L146+L149+L156+L160</f>
        <v>1275000</v>
      </c>
      <c r="M137" s="155">
        <f t="shared" si="3"/>
        <v>2053035</v>
      </c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102"/>
      <c r="AB137" s="102"/>
      <c r="AC137" s="103"/>
    </row>
    <row r="138" spans="1:29" ht="111.75" customHeight="1">
      <c r="A138" s="29"/>
      <c r="B138" s="29"/>
      <c r="C138" s="29"/>
      <c r="D138" s="29" t="s">
        <v>57</v>
      </c>
      <c r="E138" s="58"/>
      <c r="F138" s="18" t="s">
        <v>33</v>
      </c>
      <c r="G138" s="21"/>
      <c r="H138" s="21"/>
      <c r="I138" s="21"/>
      <c r="J138" s="140"/>
      <c r="K138" s="140"/>
      <c r="L138" s="140">
        <v>150000</v>
      </c>
      <c r="M138" s="155">
        <f t="shared" si="3"/>
        <v>150000</v>
      </c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102"/>
      <c r="AB138" s="102"/>
      <c r="AC138" s="103"/>
    </row>
    <row r="139" spans="1:29" ht="111.75" customHeight="1">
      <c r="A139" s="29"/>
      <c r="B139" s="29"/>
      <c r="C139" s="29"/>
      <c r="D139" s="29" t="s">
        <v>58</v>
      </c>
      <c r="E139" s="58"/>
      <c r="F139" s="18" t="s">
        <v>34</v>
      </c>
      <c r="G139" s="21"/>
      <c r="H139" s="21"/>
      <c r="I139" s="21"/>
      <c r="J139" s="140"/>
      <c r="K139" s="151">
        <f>10000+10000</f>
        <v>20000</v>
      </c>
      <c r="L139" s="140"/>
      <c r="M139" s="155">
        <f t="shared" si="3"/>
        <v>20000</v>
      </c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102"/>
      <c r="AB139" s="102"/>
      <c r="AC139" s="103"/>
    </row>
    <row r="140" spans="1:29" ht="111.75" customHeight="1">
      <c r="A140" s="29"/>
      <c r="B140" s="29"/>
      <c r="C140" s="29"/>
      <c r="D140" s="29" t="s">
        <v>59</v>
      </c>
      <c r="E140" s="58"/>
      <c r="F140" s="18" t="s">
        <v>148</v>
      </c>
      <c r="G140" s="21"/>
      <c r="H140" s="21"/>
      <c r="I140" s="21"/>
      <c r="J140" s="140"/>
      <c r="K140" s="140">
        <f>12375</f>
        <v>12375</v>
      </c>
      <c r="L140" s="140"/>
      <c r="M140" s="155">
        <f t="shared" si="3"/>
        <v>12375</v>
      </c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102"/>
      <c r="AB140" s="102"/>
      <c r="AC140" s="103"/>
    </row>
    <row r="141" spans="1:29" ht="111.75" customHeight="1">
      <c r="A141" s="29"/>
      <c r="B141" s="29"/>
      <c r="C141" s="29"/>
      <c r="D141" s="29" t="s">
        <v>60</v>
      </c>
      <c r="E141" s="58"/>
      <c r="F141" s="18" t="s">
        <v>35</v>
      </c>
      <c r="G141" s="21"/>
      <c r="H141" s="21"/>
      <c r="I141" s="21"/>
      <c r="J141" s="140"/>
      <c r="K141" s="140"/>
      <c r="L141" s="140"/>
      <c r="M141" s="155">
        <f t="shared" si="3"/>
        <v>0</v>
      </c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102"/>
      <c r="AB141" s="102"/>
      <c r="AC141" s="103"/>
    </row>
    <row r="142" spans="1:30" s="27" customFormat="1" ht="111.75" customHeight="1">
      <c r="A142" s="29"/>
      <c r="B142" s="29"/>
      <c r="C142" s="29"/>
      <c r="D142" s="29" t="s">
        <v>61</v>
      </c>
      <c r="E142" s="58"/>
      <c r="F142" s="18" t="s">
        <v>149</v>
      </c>
      <c r="G142" s="21"/>
      <c r="H142" s="21"/>
      <c r="I142" s="21"/>
      <c r="J142" s="140">
        <f>SUM(J143:J145)</f>
        <v>42000</v>
      </c>
      <c r="K142" s="140">
        <f>SUM(K143:K145)</f>
        <v>15600</v>
      </c>
      <c r="L142" s="140"/>
      <c r="M142" s="155">
        <f t="shared" si="3"/>
        <v>57600</v>
      </c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118"/>
      <c r="AB142" s="118"/>
      <c r="AC142" s="118"/>
      <c r="AD142" s="109"/>
    </row>
    <row r="143" spans="1:29" ht="111.75" customHeight="1">
      <c r="A143" s="29"/>
      <c r="B143" s="29"/>
      <c r="C143" s="29"/>
      <c r="D143" s="29"/>
      <c r="E143" s="58" t="s">
        <v>57</v>
      </c>
      <c r="F143" s="149" t="s">
        <v>150</v>
      </c>
      <c r="G143" s="21"/>
      <c r="H143" s="21"/>
      <c r="I143" s="21"/>
      <c r="J143" s="133">
        <v>12000</v>
      </c>
      <c r="K143" s="133">
        <f>6000</f>
        <v>6000</v>
      </c>
      <c r="L143" s="133"/>
      <c r="M143" s="155">
        <f t="shared" si="3"/>
        <v>18000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02"/>
      <c r="AB143" s="110"/>
      <c r="AC143" s="111"/>
    </row>
    <row r="144" spans="1:29" ht="111.75" customHeight="1">
      <c r="A144" s="29"/>
      <c r="B144" s="29"/>
      <c r="C144" s="29"/>
      <c r="D144" s="29"/>
      <c r="E144" s="58" t="s">
        <v>58</v>
      </c>
      <c r="F144" s="149" t="s">
        <v>151</v>
      </c>
      <c r="G144" s="21"/>
      <c r="H144" s="21"/>
      <c r="I144" s="21"/>
      <c r="J144" s="133">
        <v>10000</v>
      </c>
      <c r="K144" s="133">
        <f>9600</f>
        <v>9600</v>
      </c>
      <c r="L144" s="133"/>
      <c r="M144" s="155">
        <f t="shared" si="3"/>
        <v>19600</v>
      </c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02"/>
      <c r="AB144" s="110"/>
      <c r="AC144" s="111"/>
    </row>
    <row r="145" spans="1:29" ht="111.75" customHeight="1">
      <c r="A145" s="29"/>
      <c r="B145" s="29"/>
      <c r="C145" s="29"/>
      <c r="D145" s="29"/>
      <c r="E145" s="58" t="s">
        <v>59</v>
      </c>
      <c r="F145" s="149" t="s">
        <v>152</v>
      </c>
      <c r="G145" s="21"/>
      <c r="H145" s="21"/>
      <c r="I145" s="21"/>
      <c r="J145" s="133">
        <v>20000</v>
      </c>
      <c r="K145" s="133"/>
      <c r="L145" s="133"/>
      <c r="M145" s="155">
        <f t="shared" si="3"/>
        <v>20000</v>
      </c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02"/>
      <c r="AB145" s="110"/>
      <c r="AC145" s="111"/>
    </row>
    <row r="146" spans="1:29" ht="111.75" customHeight="1">
      <c r="A146" s="29"/>
      <c r="B146" s="29"/>
      <c r="C146" s="29"/>
      <c r="D146" s="29" t="s">
        <v>62</v>
      </c>
      <c r="E146" s="58"/>
      <c r="F146" s="18" t="s">
        <v>153</v>
      </c>
      <c r="G146" s="21"/>
      <c r="H146" s="21"/>
      <c r="I146" s="21"/>
      <c r="J146" s="140">
        <f>SUM(J147:J148)</f>
        <v>0</v>
      </c>
      <c r="K146" s="140">
        <f>SUM(K147:K148)</f>
        <v>0</v>
      </c>
      <c r="L146" s="140">
        <f>SUM(L147:L148)</f>
        <v>0</v>
      </c>
      <c r="M146" s="155">
        <f t="shared" si="3"/>
        <v>0</v>
      </c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102"/>
      <c r="AB146" s="102"/>
      <c r="AC146" s="111"/>
    </row>
    <row r="147" spans="1:29" ht="111.75" customHeight="1">
      <c r="A147" s="29"/>
      <c r="B147" s="29"/>
      <c r="C147" s="29"/>
      <c r="D147" s="29"/>
      <c r="E147" s="58" t="s">
        <v>57</v>
      </c>
      <c r="F147" s="44" t="s">
        <v>154</v>
      </c>
      <c r="G147" s="21"/>
      <c r="H147" s="21"/>
      <c r="I147" s="21"/>
      <c r="J147" s="133"/>
      <c r="K147" s="133"/>
      <c r="L147" s="133"/>
      <c r="M147" s="155">
        <f t="shared" si="3"/>
        <v>0</v>
      </c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02"/>
      <c r="AB147" s="110"/>
      <c r="AC147" s="111"/>
    </row>
    <row r="148" spans="1:29" ht="111.75" customHeight="1">
      <c r="A148" s="29"/>
      <c r="B148" s="29"/>
      <c r="C148" s="29"/>
      <c r="D148" s="29"/>
      <c r="E148" s="58" t="s">
        <v>58</v>
      </c>
      <c r="F148" s="44" t="s">
        <v>155</v>
      </c>
      <c r="G148" s="21"/>
      <c r="H148" s="21"/>
      <c r="I148" s="21"/>
      <c r="J148" s="133">
        <v>0</v>
      </c>
      <c r="K148" s="133">
        <v>0</v>
      </c>
      <c r="L148" s="133">
        <v>0</v>
      </c>
      <c r="M148" s="155">
        <f t="shared" si="3"/>
        <v>0</v>
      </c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02"/>
      <c r="AB148" s="110"/>
      <c r="AC148" s="111"/>
    </row>
    <row r="149" spans="1:29" ht="111.75" customHeight="1">
      <c r="A149" s="29"/>
      <c r="B149" s="29"/>
      <c r="C149" s="29"/>
      <c r="D149" s="29" t="s">
        <v>63</v>
      </c>
      <c r="E149" s="58"/>
      <c r="F149" s="18" t="s">
        <v>258</v>
      </c>
      <c r="G149" s="21"/>
      <c r="H149" s="21"/>
      <c r="I149" s="21"/>
      <c r="J149" s="140">
        <f>SUM(J150:J155)</f>
        <v>0</v>
      </c>
      <c r="K149" s="140">
        <f>SUM(K150:K155)</f>
        <v>186300</v>
      </c>
      <c r="L149" s="140">
        <f>SUM(L150:L155)</f>
        <v>1045000</v>
      </c>
      <c r="M149" s="155">
        <f t="shared" si="3"/>
        <v>1231300</v>
      </c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102"/>
      <c r="AB149" s="110"/>
      <c r="AC149" s="111"/>
    </row>
    <row r="150" spans="1:29" ht="111.75" customHeight="1">
      <c r="A150" s="29"/>
      <c r="B150" s="29"/>
      <c r="C150" s="29"/>
      <c r="D150" s="29"/>
      <c r="E150" s="58" t="s">
        <v>57</v>
      </c>
      <c r="F150" s="149" t="s">
        <v>259</v>
      </c>
      <c r="G150" s="21"/>
      <c r="H150" s="21"/>
      <c r="I150" s="21"/>
      <c r="J150" s="133"/>
      <c r="K150" s="133">
        <v>100000</v>
      </c>
      <c r="L150" s="133"/>
      <c r="M150" s="155">
        <f t="shared" si="3"/>
        <v>100000</v>
      </c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02"/>
      <c r="AB150" s="102"/>
      <c r="AC150" s="103"/>
    </row>
    <row r="151" spans="1:29" ht="111.75" customHeight="1">
      <c r="A151" s="29"/>
      <c r="B151" s="29"/>
      <c r="C151" s="29"/>
      <c r="D151" s="29"/>
      <c r="E151" s="58" t="s">
        <v>58</v>
      </c>
      <c r="F151" s="44" t="s">
        <v>156</v>
      </c>
      <c r="G151" s="21"/>
      <c r="H151" s="21"/>
      <c r="I151" s="21"/>
      <c r="J151" s="133"/>
      <c r="K151" s="133"/>
      <c r="L151" s="133">
        <v>80000</v>
      </c>
      <c r="M151" s="155">
        <f t="shared" si="3"/>
        <v>80000</v>
      </c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02"/>
      <c r="AB151" s="102"/>
      <c r="AC151" s="103"/>
    </row>
    <row r="152" spans="1:29" ht="111.75" customHeight="1">
      <c r="A152" s="29"/>
      <c r="B152" s="29"/>
      <c r="C152" s="29"/>
      <c r="D152" s="29"/>
      <c r="E152" s="58" t="s">
        <v>59</v>
      </c>
      <c r="F152" s="44" t="s">
        <v>157</v>
      </c>
      <c r="G152" s="21"/>
      <c r="H152" s="21"/>
      <c r="I152" s="21"/>
      <c r="J152" s="133"/>
      <c r="K152" s="133"/>
      <c r="L152" s="133"/>
      <c r="M152" s="155">
        <f t="shared" si="3"/>
        <v>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02"/>
      <c r="AB152" s="102"/>
      <c r="AC152" s="103"/>
    </row>
    <row r="153" spans="1:29" ht="111.75" customHeight="1">
      <c r="A153" s="29"/>
      <c r="B153" s="29"/>
      <c r="C153" s="29"/>
      <c r="D153" s="29"/>
      <c r="E153" s="58" t="s">
        <v>60</v>
      </c>
      <c r="F153" s="44" t="s">
        <v>158</v>
      </c>
      <c r="G153" s="21"/>
      <c r="H153" s="21"/>
      <c r="I153" s="21"/>
      <c r="J153" s="133"/>
      <c r="K153" s="133"/>
      <c r="L153" s="133"/>
      <c r="M153" s="155">
        <f t="shared" si="3"/>
        <v>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20"/>
      <c r="AB153" s="102"/>
      <c r="AC153" s="103"/>
    </row>
    <row r="154" spans="1:30" s="27" customFormat="1" ht="111.75" customHeight="1">
      <c r="A154" s="29"/>
      <c r="B154" s="29"/>
      <c r="C154" s="29"/>
      <c r="D154" s="29"/>
      <c r="E154" s="58" t="s">
        <v>61</v>
      </c>
      <c r="F154" s="44" t="s">
        <v>159</v>
      </c>
      <c r="G154" s="21"/>
      <c r="H154" s="21"/>
      <c r="I154" s="21"/>
      <c r="J154" s="133"/>
      <c r="K154" s="133"/>
      <c r="L154" s="142">
        <v>240000</v>
      </c>
      <c r="M154" s="155">
        <f t="shared" si="3"/>
        <v>240000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8"/>
      <c r="AB154" s="110"/>
      <c r="AC154" s="114"/>
      <c r="AD154" s="109"/>
    </row>
    <row r="155" spans="1:29" ht="111.75" customHeight="1">
      <c r="A155" s="29"/>
      <c r="B155" s="29"/>
      <c r="C155" s="29"/>
      <c r="D155" s="29"/>
      <c r="E155" s="58" t="s">
        <v>62</v>
      </c>
      <c r="F155" s="44" t="s">
        <v>160</v>
      </c>
      <c r="G155" s="21"/>
      <c r="H155" s="21"/>
      <c r="I155" s="21"/>
      <c r="J155" s="133"/>
      <c r="K155" s="133">
        <f>86300</f>
        <v>86300</v>
      </c>
      <c r="L155" s="133">
        <f>225000+500000</f>
        <v>725000</v>
      </c>
      <c r="M155" s="155">
        <f t="shared" si="3"/>
        <v>811300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02"/>
      <c r="AB155" s="102"/>
      <c r="AC155" s="103"/>
    </row>
    <row r="156" spans="1:29" ht="111.75" customHeight="1">
      <c r="A156" s="29"/>
      <c r="B156" s="29"/>
      <c r="C156" s="29"/>
      <c r="D156" s="29" t="s">
        <v>64</v>
      </c>
      <c r="E156" s="58"/>
      <c r="F156" s="18" t="s">
        <v>36</v>
      </c>
      <c r="G156" s="21"/>
      <c r="H156" s="21"/>
      <c r="I156" s="21"/>
      <c r="J156" s="140">
        <f>SUM(J157:J159)</f>
        <v>401760</v>
      </c>
      <c r="K156" s="140">
        <f>SUM(K157:K159)</f>
        <v>80000</v>
      </c>
      <c r="L156" s="140">
        <f>SUM(L157:L159)</f>
        <v>80000</v>
      </c>
      <c r="M156" s="155">
        <f t="shared" si="3"/>
        <v>561760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102"/>
      <c r="AB156" s="102"/>
      <c r="AC156" s="103"/>
    </row>
    <row r="157" spans="1:29" ht="111.75" customHeight="1">
      <c r="A157" s="29"/>
      <c r="B157" s="29"/>
      <c r="C157" s="29"/>
      <c r="D157" s="29"/>
      <c r="E157" s="58" t="s">
        <v>57</v>
      </c>
      <c r="F157" s="149" t="s">
        <v>161</v>
      </c>
      <c r="G157" s="21"/>
      <c r="H157" s="21"/>
      <c r="I157" s="21"/>
      <c r="J157" s="133">
        <v>401760</v>
      </c>
      <c r="K157" s="133">
        <v>80000</v>
      </c>
      <c r="L157" s="133">
        <f>60000+20000</f>
        <v>80000</v>
      </c>
      <c r="M157" s="155">
        <f aca="true" t="shared" si="4" ref="M157:M220">J157+K157+L157</f>
        <v>561760</v>
      </c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02"/>
      <c r="AB157" s="102"/>
      <c r="AC157" s="103"/>
    </row>
    <row r="158" spans="1:30" s="36" customFormat="1" ht="111.75" customHeight="1">
      <c r="A158" s="29"/>
      <c r="B158" s="29"/>
      <c r="C158" s="29"/>
      <c r="D158" s="29"/>
      <c r="E158" s="58" t="s">
        <v>58</v>
      </c>
      <c r="F158" s="44" t="s">
        <v>162</v>
      </c>
      <c r="G158" s="21"/>
      <c r="H158" s="21"/>
      <c r="I158" s="21"/>
      <c r="J158" s="133"/>
      <c r="K158" s="133"/>
      <c r="L158" s="133"/>
      <c r="M158" s="155">
        <f t="shared" si="4"/>
        <v>0</v>
      </c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20"/>
      <c r="AB158" s="120"/>
      <c r="AC158" s="120"/>
      <c r="AD158" s="6"/>
    </row>
    <row r="159" spans="1:30" s="36" customFormat="1" ht="111.75" customHeight="1">
      <c r="A159" s="29"/>
      <c r="B159" s="29"/>
      <c r="C159" s="29"/>
      <c r="D159" s="29"/>
      <c r="E159" s="58" t="s">
        <v>59</v>
      </c>
      <c r="F159" s="44" t="s">
        <v>163</v>
      </c>
      <c r="G159" s="21"/>
      <c r="H159" s="21"/>
      <c r="I159" s="21"/>
      <c r="J159" s="133"/>
      <c r="K159" s="133"/>
      <c r="L159" s="133"/>
      <c r="M159" s="155">
        <f t="shared" si="4"/>
        <v>0</v>
      </c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20"/>
      <c r="AB159" s="120"/>
      <c r="AC159" s="129"/>
      <c r="AD159" s="6"/>
    </row>
    <row r="160" spans="1:29" ht="111.75" customHeight="1">
      <c r="A160" s="29"/>
      <c r="B160" s="29"/>
      <c r="C160" s="29"/>
      <c r="D160" s="29" t="s">
        <v>65</v>
      </c>
      <c r="E160" s="58"/>
      <c r="F160" s="18" t="s">
        <v>164</v>
      </c>
      <c r="G160" s="21"/>
      <c r="H160" s="21"/>
      <c r="I160" s="21"/>
      <c r="J160" s="140">
        <f>SUM(J161:J162)</f>
        <v>0</v>
      </c>
      <c r="K160" s="140">
        <f>SUM(K161:K162)</f>
        <v>20000</v>
      </c>
      <c r="L160" s="140">
        <f>SUM(L161:L162)</f>
        <v>0</v>
      </c>
      <c r="M160" s="155">
        <f t="shared" si="4"/>
        <v>20000</v>
      </c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102"/>
      <c r="AB160" s="102"/>
      <c r="AC160" s="103"/>
    </row>
    <row r="161" spans="1:29" ht="111.75" customHeight="1">
      <c r="A161" s="29"/>
      <c r="B161" s="29"/>
      <c r="C161" s="29"/>
      <c r="D161" s="29"/>
      <c r="E161" s="58" t="s">
        <v>57</v>
      </c>
      <c r="F161" s="44" t="s">
        <v>260</v>
      </c>
      <c r="G161" s="21"/>
      <c r="H161" s="21"/>
      <c r="I161" s="21"/>
      <c r="J161" s="133">
        <v>0</v>
      </c>
      <c r="K161" s="133">
        <v>0</v>
      </c>
      <c r="L161" s="133">
        <v>0</v>
      </c>
      <c r="M161" s="155">
        <f t="shared" si="4"/>
        <v>0</v>
      </c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02"/>
      <c r="AB161" s="102"/>
      <c r="AC161" s="103"/>
    </row>
    <row r="162" spans="1:29" ht="111.75" customHeight="1">
      <c r="A162" s="29"/>
      <c r="B162" s="29"/>
      <c r="C162" s="29"/>
      <c r="D162" s="29"/>
      <c r="E162" s="58" t="s">
        <v>61</v>
      </c>
      <c r="F162" s="44" t="s">
        <v>165</v>
      </c>
      <c r="G162" s="21"/>
      <c r="H162" s="21"/>
      <c r="I162" s="21"/>
      <c r="J162" s="133"/>
      <c r="K162" s="133">
        <v>20000</v>
      </c>
      <c r="L162" s="133"/>
      <c r="M162" s="155">
        <f t="shared" si="4"/>
        <v>20000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02"/>
      <c r="AB162" s="102"/>
      <c r="AC162" s="103"/>
    </row>
    <row r="163" spans="1:29" ht="111.75" customHeight="1">
      <c r="A163" s="29"/>
      <c r="B163" s="29" t="s">
        <v>59</v>
      </c>
      <c r="C163" s="29"/>
      <c r="D163" s="29"/>
      <c r="E163" s="58"/>
      <c r="F163" s="23" t="s">
        <v>37</v>
      </c>
      <c r="G163" s="21"/>
      <c r="H163" s="21"/>
      <c r="I163" s="21">
        <v>40</v>
      </c>
      <c r="J163" s="140">
        <f>J164+J173+J178+J185+J188+J194+J221+J237</f>
        <v>2138619</v>
      </c>
      <c r="K163" s="140">
        <f>K164+K173+K178+K185+K188+K194+K221+K237</f>
        <v>10634962.600000001</v>
      </c>
      <c r="L163" s="140">
        <f>L164+L173+L178+L185+L188+L194+L221+L237</f>
        <v>885000</v>
      </c>
      <c r="M163" s="155">
        <f t="shared" si="4"/>
        <v>13658581.600000001</v>
      </c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102"/>
      <c r="AB163" s="102"/>
      <c r="AC163" s="103"/>
    </row>
    <row r="164" spans="1:29" ht="111.75" customHeight="1">
      <c r="A164" s="29"/>
      <c r="B164" s="29"/>
      <c r="C164" s="29" t="s">
        <v>57</v>
      </c>
      <c r="D164" s="29"/>
      <c r="E164" s="58"/>
      <c r="F164" s="23" t="s">
        <v>166</v>
      </c>
      <c r="G164" s="21"/>
      <c r="H164" s="21"/>
      <c r="I164" s="9"/>
      <c r="J164" s="140">
        <f>J165+J167+J168+J172</f>
        <v>143819</v>
      </c>
      <c r="K164" s="140">
        <f>K165+K167+K168+K172</f>
        <v>929130.36</v>
      </c>
      <c r="L164" s="140">
        <f>L165+L167+L168+L172</f>
        <v>0</v>
      </c>
      <c r="M164" s="155">
        <f t="shared" si="4"/>
        <v>1072949.3599999999</v>
      </c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102"/>
      <c r="AB164" s="102"/>
      <c r="AC164" s="103"/>
    </row>
    <row r="165" spans="1:30" s="36" customFormat="1" ht="111.75" customHeight="1">
      <c r="A165" s="29"/>
      <c r="B165" s="29"/>
      <c r="C165" s="29"/>
      <c r="D165" s="29" t="s">
        <v>57</v>
      </c>
      <c r="E165" s="59"/>
      <c r="F165" s="18" t="s">
        <v>38</v>
      </c>
      <c r="G165" s="30"/>
      <c r="H165" s="30"/>
      <c r="I165" s="30"/>
      <c r="J165" s="140">
        <f>SUM(J166)</f>
        <v>128819</v>
      </c>
      <c r="K165" s="140">
        <f>SUM(K166)</f>
        <v>493899.36</v>
      </c>
      <c r="L165" s="140">
        <f aca="true" t="shared" si="5" ref="L165:Y165">SUM(L166)</f>
        <v>0</v>
      </c>
      <c r="M165" s="155">
        <f t="shared" si="4"/>
        <v>622718.36</v>
      </c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120"/>
      <c r="AB165" s="120"/>
      <c r="AC165" s="129"/>
      <c r="AD165" s="6"/>
    </row>
    <row r="166" spans="1:29" ht="111.75" customHeight="1">
      <c r="A166" s="29"/>
      <c r="B166" s="29"/>
      <c r="C166" s="29"/>
      <c r="D166" s="29"/>
      <c r="E166" s="58" t="s">
        <v>57</v>
      </c>
      <c r="F166" s="149" t="s">
        <v>38</v>
      </c>
      <c r="G166" s="21"/>
      <c r="H166" s="21"/>
      <c r="I166" s="21"/>
      <c r="J166" s="142">
        <v>128819</v>
      </c>
      <c r="K166" s="142">
        <f>265460+70000+97964.36+60475</f>
        <v>493899.36</v>
      </c>
      <c r="L166" s="142"/>
      <c r="M166" s="155">
        <f t="shared" si="4"/>
        <v>622718.36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02"/>
      <c r="AB166" s="102"/>
      <c r="AC166" s="103"/>
    </row>
    <row r="167" spans="1:29" ht="111.75" customHeight="1">
      <c r="A167" s="29"/>
      <c r="B167" s="29"/>
      <c r="C167" s="29"/>
      <c r="D167" s="29" t="s">
        <v>58</v>
      </c>
      <c r="E167" s="58"/>
      <c r="F167" s="18" t="s">
        <v>39</v>
      </c>
      <c r="G167" s="21"/>
      <c r="H167" s="21"/>
      <c r="I167" s="21"/>
      <c r="J167" s="142"/>
      <c r="K167" s="142"/>
      <c r="L167" s="142"/>
      <c r="M167" s="155">
        <f t="shared" si="4"/>
        <v>0</v>
      </c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02"/>
      <c r="AB167" s="102"/>
      <c r="AC167" s="103"/>
    </row>
    <row r="168" spans="1:29" ht="111.75" customHeight="1">
      <c r="A168" s="29"/>
      <c r="B168" s="29"/>
      <c r="C168" s="29"/>
      <c r="D168" s="29" t="s">
        <v>59</v>
      </c>
      <c r="E168" s="58"/>
      <c r="F168" s="18" t="s">
        <v>40</v>
      </c>
      <c r="G168" s="21"/>
      <c r="H168" s="21"/>
      <c r="I168" s="21"/>
      <c r="J168" s="143">
        <f>SUM(J169:J171)</f>
        <v>15000</v>
      </c>
      <c r="K168" s="143">
        <f>SUM(K169:K171)</f>
        <v>435231</v>
      </c>
      <c r="L168" s="143">
        <f>SUM(L169:L171)</f>
        <v>0</v>
      </c>
      <c r="M168" s="155">
        <f t="shared" si="4"/>
        <v>450231</v>
      </c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102"/>
      <c r="AB168" s="102"/>
      <c r="AC168" s="103"/>
    </row>
    <row r="169" spans="1:29" ht="111.75" customHeight="1">
      <c r="A169" s="29"/>
      <c r="B169" s="29"/>
      <c r="C169" s="29"/>
      <c r="D169" s="29"/>
      <c r="E169" s="58" t="s">
        <v>57</v>
      </c>
      <c r="F169" s="44" t="s">
        <v>167</v>
      </c>
      <c r="G169" s="21"/>
      <c r="H169" s="21"/>
      <c r="I169" s="21"/>
      <c r="J169" s="142"/>
      <c r="K169" s="142"/>
      <c r="L169" s="142"/>
      <c r="M169" s="155">
        <f t="shared" si="4"/>
        <v>0</v>
      </c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02"/>
      <c r="AB169" s="102"/>
      <c r="AC169" s="103"/>
    </row>
    <row r="170" spans="1:29" ht="111.75" customHeight="1">
      <c r="A170" s="29"/>
      <c r="B170" s="29"/>
      <c r="C170" s="29"/>
      <c r="D170" s="29"/>
      <c r="E170" s="58" t="s">
        <v>58</v>
      </c>
      <c r="F170" s="44" t="s">
        <v>168</v>
      </c>
      <c r="G170" s="21"/>
      <c r="H170" s="21"/>
      <c r="I170" s="21"/>
      <c r="J170" s="142"/>
      <c r="K170" s="142">
        <f>435231</f>
        <v>435231</v>
      </c>
      <c r="L170" s="142"/>
      <c r="M170" s="155">
        <f t="shared" si="4"/>
        <v>435231</v>
      </c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02"/>
      <c r="AB170" s="102"/>
      <c r="AC170" s="103"/>
    </row>
    <row r="171" spans="1:29" ht="111.75" customHeight="1">
      <c r="A171" s="29"/>
      <c r="B171" s="29"/>
      <c r="C171" s="29"/>
      <c r="D171" s="29"/>
      <c r="E171" s="58" t="s">
        <v>59</v>
      </c>
      <c r="F171" s="44" t="s">
        <v>169</v>
      </c>
      <c r="G171" s="21"/>
      <c r="H171" s="21"/>
      <c r="I171" s="21"/>
      <c r="J171" s="142">
        <v>15000</v>
      </c>
      <c r="K171" s="142"/>
      <c r="L171" s="142"/>
      <c r="M171" s="155">
        <f t="shared" si="4"/>
        <v>15000</v>
      </c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02"/>
      <c r="AB171" s="102"/>
      <c r="AC171" s="103"/>
    </row>
    <row r="172" spans="1:29" ht="111.75" customHeight="1">
      <c r="A172" s="29"/>
      <c r="B172" s="29"/>
      <c r="C172" s="29"/>
      <c r="D172" s="29" t="s">
        <v>60</v>
      </c>
      <c r="E172" s="58"/>
      <c r="F172" s="18" t="s">
        <v>170</v>
      </c>
      <c r="G172" s="21"/>
      <c r="H172" s="21"/>
      <c r="I172" s="21"/>
      <c r="J172" s="142"/>
      <c r="K172" s="142"/>
      <c r="L172" s="142"/>
      <c r="M172" s="155">
        <f t="shared" si="4"/>
        <v>0</v>
      </c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02"/>
      <c r="AB172" s="102"/>
      <c r="AC172" s="103"/>
    </row>
    <row r="173" spans="1:29" ht="111.75" customHeight="1">
      <c r="A173" s="29"/>
      <c r="B173" s="29"/>
      <c r="C173" s="29" t="s">
        <v>58</v>
      </c>
      <c r="D173" s="29"/>
      <c r="E173" s="58"/>
      <c r="F173" s="18" t="s">
        <v>171</v>
      </c>
      <c r="G173" s="21"/>
      <c r="H173" s="21"/>
      <c r="I173" s="21"/>
      <c r="J173" s="143">
        <f>SUM(J174:J177)</f>
        <v>0</v>
      </c>
      <c r="K173" s="143">
        <f>SUM(K174:K177)</f>
        <v>83750</v>
      </c>
      <c r="L173" s="143">
        <f>SUM(L174:L177)</f>
        <v>0</v>
      </c>
      <c r="M173" s="155">
        <f t="shared" si="4"/>
        <v>83750</v>
      </c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102"/>
      <c r="AB173" s="102"/>
      <c r="AC173" s="103"/>
    </row>
    <row r="174" spans="1:29" ht="111.75" customHeight="1">
      <c r="A174" s="29"/>
      <c r="B174" s="29"/>
      <c r="C174" s="63"/>
      <c r="D174" s="29" t="s">
        <v>57</v>
      </c>
      <c r="E174" s="58"/>
      <c r="F174" s="18" t="s">
        <v>41</v>
      </c>
      <c r="G174" s="21"/>
      <c r="H174" s="21"/>
      <c r="I174" s="21"/>
      <c r="J174" s="142"/>
      <c r="K174" s="151">
        <f>6000+21650</f>
        <v>27650</v>
      </c>
      <c r="L174" s="142"/>
      <c r="M174" s="155">
        <f t="shared" si="4"/>
        <v>27650</v>
      </c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02"/>
      <c r="AB174" s="102"/>
      <c r="AC174" s="103"/>
    </row>
    <row r="175" spans="1:29" ht="111.75" customHeight="1">
      <c r="A175" s="29"/>
      <c r="B175" s="29"/>
      <c r="C175" s="29"/>
      <c r="D175" s="29" t="s">
        <v>58</v>
      </c>
      <c r="E175" s="58"/>
      <c r="F175" s="18" t="s">
        <v>42</v>
      </c>
      <c r="G175" s="21"/>
      <c r="H175" s="21"/>
      <c r="I175" s="21"/>
      <c r="J175" s="142"/>
      <c r="K175" s="151">
        <f>4100</f>
        <v>4100</v>
      </c>
      <c r="L175" s="142"/>
      <c r="M175" s="155">
        <f t="shared" si="4"/>
        <v>4100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02"/>
      <c r="AB175" s="102"/>
      <c r="AC175" s="103"/>
    </row>
    <row r="176" spans="1:29" ht="111.75" customHeight="1">
      <c r="A176" s="29"/>
      <c r="B176" s="29"/>
      <c r="C176" s="29"/>
      <c r="D176" s="29" t="s">
        <v>59</v>
      </c>
      <c r="E176" s="58"/>
      <c r="F176" s="18" t="s">
        <v>43</v>
      </c>
      <c r="G176" s="21"/>
      <c r="H176" s="21"/>
      <c r="I176" s="35"/>
      <c r="J176" s="142"/>
      <c r="K176" s="151">
        <v>28000</v>
      </c>
      <c r="L176" s="142"/>
      <c r="M176" s="155">
        <f t="shared" si="4"/>
        <v>28000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02"/>
      <c r="AB176" s="102"/>
      <c r="AC176" s="103"/>
    </row>
    <row r="177" spans="1:29" ht="111.75" customHeight="1">
      <c r="A177" s="29"/>
      <c r="B177" s="29"/>
      <c r="C177" s="29"/>
      <c r="D177" s="29" t="s">
        <v>60</v>
      </c>
      <c r="E177" s="58"/>
      <c r="F177" s="18" t="s">
        <v>44</v>
      </c>
      <c r="G177" s="21"/>
      <c r="H177" s="21"/>
      <c r="I177" s="21"/>
      <c r="J177" s="142"/>
      <c r="K177" s="151">
        <v>24000</v>
      </c>
      <c r="L177" s="142"/>
      <c r="M177" s="155">
        <f t="shared" si="4"/>
        <v>24000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02"/>
      <c r="AB177" s="102"/>
      <c r="AC177" s="103"/>
    </row>
    <row r="178" spans="1:29" ht="111.75" customHeight="1">
      <c r="A178" s="29"/>
      <c r="B178" s="29"/>
      <c r="C178" s="29" t="s">
        <v>59</v>
      </c>
      <c r="D178" s="29"/>
      <c r="E178" s="58"/>
      <c r="F178" s="18" t="s">
        <v>172</v>
      </c>
      <c r="G178" s="21"/>
      <c r="H178" s="21"/>
      <c r="I178" s="21"/>
      <c r="J178" s="143">
        <f>SUM(J179:J184)</f>
        <v>320000</v>
      </c>
      <c r="K178" s="143">
        <f>SUM(K179:K184)</f>
        <v>261895.5</v>
      </c>
      <c r="L178" s="143">
        <f>SUM(L179:L184)</f>
        <v>0</v>
      </c>
      <c r="M178" s="155">
        <f t="shared" si="4"/>
        <v>581895.5</v>
      </c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102"/>
      <c r="AB178" s="102"/>
      <c r="AC178" s="103"/>
    </row>
    <row r="179" spans="1:29" ht="111.75" customHeight="1">
      <c r="A179" s="29"/>
      <c r="B179" s="29"/>
      <c r="C179" s="29"/>
      <c r="D179" s="29" t="s">
        <v>57</v>
      </c>
      <c r="E179" s="58"/>
      <c r="F179" s="18" t="s">
        <v>173</v>
      </c>
      <c r="G179" s="21"/>
      <c r="H179" s="21"/>
      <c r="I179" s="9"/>
      <c r="J179" s="142">
        <v>120000</v>
      </c>
      <c r="K179" s="151">
        <f>100980+21600+3055</f>
        <v>125635</v>
      </c>
      <c r="L179" s="142"/>
      <c r="M179" s="155">
        <f t="shared" si="4"/>
        <v>245635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02"/>
      <c r="AB179" s="102"/>
      <c r="AC179" s="103"/>
    </row>
    <row r="180" spans="1:29" ht="111.75" customHeight="1">
      <c r="A180" s="29"/>
      <c r="B180" s="29"/>
      <c r="C180" s="29"/>
      <c r="D180" s="29" t="s">
        <v>58</v>
      </c>
      <c r="E180" s="58"/>
      <c r="F180" s="18" t="s">
        <v>174</v>
      </c>
      <c r="G180" s="21"/>
      <c r="H180" s="21"/>
      <c r="I180" s="21"/>
      <c r="J180" s="142">
        <v>200000</v>
      </c>
      <c r="K180" s="151">
        <f>126060.5+6000+1800</f>
        <v>133860.5</v>
      </c>
      <c r="L180" s="142"/>
      <c r="M180" s="155">
        <f t="shared" si="4"/>
        <v>333860.5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02"/>
      <c r="AB180" s="102"/>
      <c r="AC180" s="103"/>
    </row>
    <row r="181" spans="1:29" ht="111.75" customHeight="1">
      <c r="A181" s="29"/>
      <c r="B181" s="29"/>
      <c r="C181" s="29"/>
      <c r="D181" s="29" t="s">
        <v>59</v>
      </c>
      <c r="E181" s="58"/>
      <c r="F181" s="18" t="s">
        <v>175</v>
      </c>
      <c r="G181" s="21"/>
      <c r="H181" s="21"/>
      <c r="I181" s="9"/>
      <c r="J181" s="142"/>
      <c r="K181" s="151"/>
      <c r="L181" s="142"/>
      <c r="M181" s="155">
        <f t="shared" si="4"/>
        <v>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02"/>
      <c r="AB181" s="102"/>
      <c r="AC181" s="103"/>
    </row>
    <row r="182" spans="1:29" ht="111.75" customHeight="1">
      <c r="A182" s="29"/>
      <c r="B182" s="29"/>
      <c r="C182" s="29"/>
      <c r="D182" s="29" t="s">
        <v>60</v>
      </c>
      <c r="E182" s="58"/>
      <c r="F182" s="18" t="s">
        <v>176</v>
      </c>
      <c r="G182" s="21"/>
      <c r="H182" s="21"/>
      <c r="I182" s="9"/>
      <c r="J182" s="142"/>
      <c r="K182" s="151">
        <f>2400</f>
        <v>2400</v>
      </c>
      <c r="L182" s="142"/>
      <c r="M182" s="155">
        <f t="shared" si="4"/>
        <v>2400</v>
      </c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02"/>
      <c r="AB182" s="102"/>
      <c r="AC182" s="103"/>
    </row>
    <row r="183" spans="1:29" ht="111.75" customHeight="1">
      <c r="A183" s="29"/>
      <c r="B183" s="29"/>
      <c r="C183" s="29"/>
      <c r="D183" s="29" t="s">
        <v>61</v>
      </c>
      <c r="E183" s="58"/>
      <c r="F183" s="18" t="s">
        <v>45</v>
      </c>
      <c r="G183" s="21"/>
      <c r="H183" s="21"/>
      <c r="I183" s="9"/>
      <c r="J183" s="142"/>
      <c r="K183" s="151"/>
      <c r="L183" s="142"/>
      <c r="M183" s="155">
        <f t="shared" si="4"/>
        <v>0</v>
      </c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02"/>
      <c r="AB183" s="102"/>
      <c r="AC183" s="103"/>
    </row>
    <row r="184" spans="1:29" ht="111.75" customHeight="1">
      <c r="A184" s="29"/>
      <c r="B184" s="29"/>
      <c r="C184" s="29"/>
      <c r="D184" s="29" t="s">
        <v>62</v>
      </c>
      <c r="E184" s="58"/>
      <c r="F184" s="18" t="s">
        <v>46</v>
      </c>
      <c r="G184" s="21"/>
      <c r="H184" s="21"/>
      <c r="I184" s="9"/>
      <c r="J184" s="142"/>
      <c r="K184" s="151"/>
      <c r="L184" s="142"/>
      <c r="M184" s="155">
        <f t="shared" si="4"/>
        <v>0</v>
      </c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02"/>
      <c r="AB184" s="102"/>
      <c r="AC184" s="103"/>
    </row>
    <row r="185" spans="1:29" ht="111.75" customHeight="1">
      <c r="A185" s="29"/>
      <c r="B185" s="29"/>
      <c r="C185" s="29" t="s">
        <v>60</v>
      </c>
      <c r="D185" s="29"/>
      <c r="E185" s="58"/>
      <c r="F185" s="18" t="s">
        <v>177</v>
      </c>
      <c r="G185" s="21"/>
      <c r="H185" s="21"/>
      <c r="I185" s="9"/>
      <c r="J185" s="143">
        <f>SUM(J186:J187)</f>
        <v>0</v>
      </c>
      <c r="K185" s="143">
        <f>SUM(K186:K187)</f>
        <v>19400</v>
      </c>
      <c r="L185" s="143">
        <f>SUM(L186:L187)</f>
        <v>0</v>
      </c>
      <c r="M185" s="155">
        <f t="shared" si="4"/>
        <v>19400</v>
      </c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102"/>
      <c r="AB185" s="102"/>
      <c r="AC185" s="103"/>
    </row>
    <row r="186" spans="1:29" ht="111.75" customHeight="1">
      <c r="A186" s="29"/>
      <c r="B186" s="29"/>
      <c r="C186" s="29"/>
      <c r="D186" s="29" t="s">
        <v>57</v>
      </c>
      <c r="E186" s="58"/>
      <c r="F186" s="18" t="s">
        <v>178</v>
      </c>
      <c r="G186" s="21"/>
      <c r="H186" s="21"/>
      <c r="I186" s="9"/>
      <c r="J186" s="142"/>
      <c r="K186" s="151">
        <f>7400+12000</f>
        <v>19400</v>
      </c>
      <c r="L186" s="142"/>
      <c r="M186" s="155">
        <f t="shared" si="4"/>
        <v>19400</v>
      </c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02"/>
      <c r="AB186" s="102"/>
      <c r="AC186" s="103"/>
    </row>
    <row r="187" spans="1:29" ht="111.75" customHeight="1">
      <c r="A187" s="29"/>
      <c r="B187" s="29"/>
      <c r="C187" s="29"/>
      <c r="D187" s="29" t="s">
        <v>58</v>
      </c>
      <c r="E187" s="58"/>
      <c r="F187" s="18" t="s">
        <v>179</v>
      </c>
      <c r="G187" s="21"/>
      <c r="H187" s="21"/>
      <c r="I187" s="9"/>
      <c r="J187" s="142">
        <v>0</v>
      </c>
      <c r="K187" s="142">
        <v>0</v>
      </c>
      <c r="L187" s="142">
        <v>0</v>
      </c>
      <c r="M187" s="155">
        <f t="shared" si="4"/>
        <v>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02"/>
      <c r="AB187" s="102"/>
      <c r="AC187" s="103"/>
    </row>
    <row r="188" spans="1:29" ht="111.75" customHeight="1">
      <c r="A188" s="29"/>
      <c r="B188" s="29"/>
      <c r="C188" s="29" t="s">
        <v>61</v>
      </c>
      <c r="D188" s="29"/>
      <c r="E188" s="58"/>
      <c r="F188" s="18" t="s">
        <v>180</v>
      </c>
      <c r="G188" s="21"/>
      <c r="H188" s="21"/>
      <c r="I188" s="9"/>
      <c r="J188" s="140">
        <f>SUM(J189:J193)</f>
        <v>30000</v>
      </c>
      <c r="K188" s="140">
        <f>SUM(K189:K193)</f>
        <v>464900</v>
      </c>
      <c r="L188" s="140">
        <f>SUM(L189:L193)</f>
        <v>75000</v>
      </c>
      <c r="M188" s="155">
        <f t="shared" si="4"/>
        <v>569900</v>
      </c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102"/>
      <c r="AB188" s="102"/>
      <c r="AC188" s="103"/>
    </row>
    <row r="189" spans="1:29" ht="111.75" customHeight="1">
      <c r="A189" s="29"/>
      <c r="B189" s="29"/>
      <c r="C189" s="29"/>
      <c r="D189" s="29" t="s">
        <v>57</v>
      </c>
      <c r="E189" s="58"/>
      <c r="F189" s="18" t="s">
        <v>181</v>
      </c>
      <c r="G189" s="21"/>
      <c r="H189" s="21"/>
      <c r="I189" s="9"/>
      <c r="J189" s="142"/>
      <c r="K189" s="142"/>
      <c r="L189" s="142"/>
      <c r="M189" s="155">
        <f t="shared" si="4"/>
        <v>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02"/>
      <c r="AB189" s="102"/>
      <c r="AC189" s="103"/>
    </row>
    <row r="190" spans="1:29" ht="111.75" customHeight="1">
      <c r="A190" s="29"/>
      <c r="B190" s="29"/>
      <c r="C190" s="29"/>
      <c r="D190" s="29" t="s">
        <v>58</v>
      </c>
      <c r="E190" s="58"/>
      <c r="F190" s="18" t="s">
        <v>182</v>
      </c>
      <c r="G190" s="21"/>
      <c r="H190" s="21"/>
      <c r="I190" s="9"/>
      <c r="J190" s="142"/>
      <c r="K190" s="142"/>
      <c r="L190" s="142"/>
      <c r="M190" s="155">
        <f t="shared" si="4"/>
        <v>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02"/>
      <c r="AB190" s="102"/>
      <c r="AC190" s="103"/>
    </row>
    <row r="191" spans="1:29" ht="111.75" customHeight="1">
      <c r="A191" s="29"/>
      <c r="B191" s="29"/>
      <c r="C191" s="29"/>
      <c r="D191" s="29" t="s">
        <v>59</v>
      </c>
      <c r="E191" s="58"/>
      <c r="F191" s="147" t="s">
        <v>49</v>
      </c>
      <c r="G191" s="21"/>
      <c r="H191" s="21"/>
      <c r="I191" s="9"/>
      <c r="J191" s="142"/>
      <c r="K191" s="151">
        <f>120000+127000+100000</f>
        <v>347000</v>
      </c>
      <c r="L191" s="142">
        <v>75000</v>
      </c>
      <c r="M191" s="155">
        <f t="shared" si="4"/>
        <v>422000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02"/>
      <c r="AB191" s="102"/>
      <c r="AC191" s="103"/>
    </row>
    <row r="192" spans="1:29" ht="111.75" customHeight="1">
      <c r="A192" s="29"/>
      <c r="B192" s="29"/>
      <c r="C192" s="29"/>
      <c r="D192" s="29" t="s">
        <v>60</v>
      </c>
      <c r="E192" s="58"/>
      <c r="F192" s="18" t="s">
        <v>183</v>
      </c>
      <c r="G192" s="21"/>
      <c r="H192" s="21"/>
      <c r="I192" s="9"/>
      <c r="J192" s="142"/>
      <c r="K192" s="151"/>
      <c r="L192" s="142"/>
      <c r="M192" s="155">
        <f t="shared" si="4"/>
        <v>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02"/>
      <c r="AB192" s="102"/>
      <c r="AC192" s="103"/>
    </row>
    <row r="193" spans="1:29" ht="111.75" customHeight="1">
      <c r="A193" s="29"/>
      <c r="B193" s="29"/>
      <c r="C193" s="29"/>
      <c r="D193" s="29" t="s">
        <v>61</v>
      </c>
      <c r="E193" s="58"/>
      <c r="F193" s="147" t="s">
        <v>184</v>
      </c>
      <c r="G193" s="21"/>
      <c r="H193" s="21"/>
      <c r="I193" s="9"/>
      <c r="J193" s="142">
        <v>30000</v>
      </c>
      <c r="K193" s="151">
        <f>22400+6000+89500</f>
        <v>117900</v>
      </c>
      <c r="L193" s="142"/>
      <c r="M193" s="155">
        <f t="shared" si="4"/>
        <v>147900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02"/>
      <c r="AB193" s="102"/>
      <c r="AC193" s="103"/>
    </row>
    <row r="194" spans="1:29" ht="111.75" customHeight="1">
      <c r="A194" s="29"/>
      <c r="B194" s="29"/>
      <c r="C194" s="29" t="s">
        <v>62</v>
      </c>
      <c r="D194" s="29"/>
      <c r="E194" s="58"/>
      <c r="F194" s="18" t="s">
        <v>185</v>
      </c>
      <c r="G194" s="21"/>
      <c r="H194" s="21"/>
      <c r="I194" s="9"/>
      <c r="J194" s="143">
        <f>J195+J201+J205+J212+J220</f>
        <v>6800</v>
      </c>
      <c r="K194" s="143">
        <f>K195+K201+K205+K212+K220</f>
        <v>71770</v>
      </c>
      <c r="L194" s="143">
        <f>L195+L201+L205+L212+L220</f>
        <v>0</v>
      </c>
      <c r="M194" s="155">
        <f t="shared" si="4"/>
        <v>78570</v>
      </c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102"/>
      <c r="AB194" s="102"/>
      <c r="AC194" s="103"/>
    </row>
    <row r="195" spans="1:29" ht="111.75" customHeight="1">
      <c r="A195" s="29"/>
      <c r="B195" s="29"/>
      <c r="C195" s="29"/>
      <c r="D195" s="29" t="s">
        <v>57</v>
      </c>
      <c r="E195" s="58"/>
      <c r="F195" s="18" t="s">
        <v>186</v>
      </c>
      <c r="G195" s="21"/>
      <c r="H195" s="21"/>
      <c r="I195" s="9"/>
      <c r="J195" s="143">
        <f>SUM(J196:J200)</f>
        <v>0</v>
      </c>
      <c r="K195" s="143">
        <f>SUM(K196:K200)</f>
        <v>14700</v>
      </c>
      <c r="L195" s="143">
        <f>SUM(L196:L200)</f>
        <v>0</v>
      </c>
      <c r="M195" s="155">
        <f t="shared" si="4"/>
        <v>14700</v>
      </c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102"/>
      <c r="AB195" s="102"/>
      <c r="AC195" s="103"/>
    </row>
    <row r="196" spans="1:29" ht="111.75" customHeight="1">
      <c r="A196" s="29"/>
      <c r="B196" s="29"/>
      <c r="C196" s="29"/>
      <c r="D196" s="29"/>
      <c r="E196" s="64" t="s">
        <v>57</v>
      </c>
      <c r="F196" s="44" t="s">
        <v>187</v>
      </c>
      <c r="G196" s="21"/>
      <c r="H196" s="21"/>
      <c r="I196" s="9"/>
      <c r="J196" s="142"/>
      <c r="K196" s="151">
        <v>14700</v>
      </c>
      <c r="L196" s="142"/>
      <c r="M196" s="155">
        <f t="shared" si="4"/>
        <v>14700</v>
      </c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102"/>
      <c r="AB196" s="102"/>
      <c r="AC196" s="103"/>
    </row>
    <row r="197" spans="1:29" ht="111.75" customHeight="1">
      <c r="A197" s="29"/>
      <c r="B197" s="29"/>
      <c r="C197" s="29"/>
      <c r="D197" s="29"/>
      <c r="E197" s="64" t="s">
        <v>58</v>
      </c>
      <c r="F197" s="44" t="s">
        <v>188</v>
      </c>
      <c r="G197" s="21"/>
      <c r="H197" s="21"/>
      <c r="I197" s="9"/>
      <c r="J197" s="142"/>
      <c r="K197" s="142"/>
      <c r="L197" s="142"/>
      <c r="M197" s="155">
        <f t="shared" si="4"/>
        <v>0</v>
      </c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102"/>
      <c r="AB197" s="102"/>
      <c r="AC197" s="103"/>
    </row>
    <row r="198" spans="1:29" ht="111.75" customHeight="1">
      <c r="A198" s="29"/>
      <c r="B198" s="29"/>
      <c r="C198" s="29"/>
      <c r="D198" s="29"/>
      <c r="E198" s="64" t="s">
        <v>59</v>
      </c>
      <c r="F198" s="44" t="s">
        <v>189</v>
      </c>
      <c r="G198" s="21"/>
      <c r="H198" s="21"/>
      <c r="I198" s="9"/>
      <c r="J198" s="142"/>
      <c r="K198" s="142"/>
      <c r="L198" s="142"/>
      <c r="M198" s="155">
        <f t="shared" si="4"/>
        <v>0</v>
      </c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102"/>
      <c r="AB198" s="102"/>
      <c r="AC198" s="103"/>
    </row>
    <row r="199" spans="1:29" ht="111.75" customHeight="1">
      <c r="A199" s="29"/>
      <c r="B199" s="29"/>
      <c r="C199" s="29"/>
      <c r="D199" s="29"/>
      <c r="E199" s="64" t="s">
        <v>60</v>
      </c>
      <c r="F199" s="44" t="s">
        <v>190</v>
      </c>
      <c r="G199" s="21"/>
      <c r="H199" s="21"/>
      <c r="I199" s="9"/>
      <c r="J199" s="142"/>
      <c r="K199" s="142"/>
      <c r="L199" s="142"/>
      <c r="M199" s="155">
        <f t="shared" si="4"/>
        <v>0</v>
      </c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102"/>
      <c r="AB199" s="102"/>
      <c r="AC199" s="103"/>
    </row>
    <row r="200" spans="1:29" ht="111.75" customHeight="1">
      <c r="A200" s="29"/>
      <c r="B200" s="29"/>
      <c r="C200" s="29"/>
      <c r="D200" s="29"/>
      <c r="E200" s="64" t="s">
        <v>61</v>
      </c>
      <c r="F200" s="44" t="s">
        <v>191</v>
      </c>
      <c r="G200" s="21"/>
      <c r="H200" s="21"/>
      <c r="I200" s="9"/>
      <c r="J200" s="142"/>
      <c r="K200" s="142"/>
      <c r="L200" s="142"/>
      <c r="M200" s="155">
        <f t="shared" si="4"/>
        <v>0</v>
      </c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102"/>
      <c r="AB200" s="102"/>
      <c r="AC200" s="103"/>
    </row>
    <row r="201" spans="1:29" ht="111.75" customHeight="1">
      <c r="A201" s="29"/>
      <c r="B201" s="29"/>
      <c r="C201" s="29"/>
      <c r="D201" s="29" t="s">
        <v>58</v>
      </c>
      <c r="E201" s="58"/>
      <c r="F201" s="18" t="s">
        <v>192</v>
      </c>
      <c r="G201" s="21"/>
      <c r="H201" s="21"/>
      <c r="I201" s="9"/>
      <c r="J201" s="143">
        <f>SUM(J202:J204)</f>
        <v>0</v>
      </c>
      <c r="K201" s="143">
        <f>SUM(K202:K204)</f>
        <v>0</v>
      </c>
      <c r="L201" s="143">
        <f>SUM(L202:L204)</f>
        <v>0</v>
      </c>
      <c r="M201" s="155">
        <f t="shared" si="4"/>
        <v>0</v>
      </c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102"/>
      <c r="AB201" s="102"/>
      <c r="AC201" s="103"/>
    </row>
    <row r="202" spans="1:29" ht="111.75" customHeight="1">
      <c r="A202" s="29"/>
      <c r="B202" s="29"/>
      <c r="C202" s="29"/>
      <c r="D202" s="29"/>
      <c r="E202" s="58" t="s">
        <v>57</v>
      </c>
      <c r="F202" s="44" t="s">
        <v>193</v>
      </c>
      <c r="G202" s="21"/>
      <c r="H202" s="21"/>
      <c r="I202" s="24"/>
      <c r="J202" s="142"/>
      <c r="K202" s="142"/>
      <c r="L202" s="142"/>
      <c r="M202" s="155">
        <f t="shared" si="4"/>
        <v>0</v>
      </c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02"/>
      <c r="AB202" s="102"/>
      <c r="AC202" s="103"/>
    </row>
    <row r="203" spans="1:29" ht="111.75" customHeight="1">
      <c r="A203" s="29"/>
      <c r="B203" s="29"/>
      <c r="C203" s="29"/>
      <c r="D203" s="29"/>
      <c r="E203" s="58" t="s">
        <v>58</v>
      </c>
      <c r="F203" s="44" t="s">
        <v>194</v>
      </c>
      <c r="G203" s="21"/>
      <c r="H203" s="21"/>
      <c r="I203" s="24"/>
      <c r="J203" s="142"/>
      <c r="K203" s="142"/>
      <c r="L203" s="142"/>
      <c r="M203" s="155">
        <f t="shared" si="4"/>
        <v>0</v>
      </c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02"/>
      <c r="AB203" s="102"/>
      <c r="AC203" s="103"/>
    </row>
    <row r="204" spans="1:29" ht="111.75" customHeight="1">
      <c r="A204" s="29"/>
      <c r="B204" s="29"/>
      <c r="C204" s="29"/>
      <c r="D204" s="29"/>
      <c r="E204" s="58" t="s">
        <v>59</v>
      </c>
      <c r="F204" s="44" t="s">
        <v>195</v>
      </c>
      <c r="G204" s="21"/>
      <c r="H204" s="21"/>
      <c r="I204" s="24"/>
      <c r="J204" s="142"/>
      <c r="K204" s="142"/>
      <c r="L204" s="142"/>
      <c r="M204" s="155">
        <f t="shared" si="4"/>
        <v>0</v>
      </c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02"/>
      <c r="AB204" s="102"/>
      <c r="AC204" s="103"/>
    </row>
    <row r="205" spans="1:29" ht="111.75" customHeight="1">
      <c r="A205" s="29"/>
      <c r="B205" s="29"/>
      <c r="C205" s="29"/>
      <c r="D205" s="29" t="s">
        <v>59</v>
      </c>
      <c r="E205" s="58"/>
      <c r="F205" s="18" t="s">
        <v>196</v>
      </c>
      <c r="G205" s="21"/>
      <c r="H205" s="21"/>
      <c r="I205" s="24"/>
      <c r="J205" s="143">
        <f>SUM(J206:J211)</f>
        <v>6800</v>
      </c>
      <c r="K205" s="143">
        <f>SUM(K206:K211)</f>
        <v>40420</v>
      </c>
      <c r="L205" s="143">
        <f>SUM(L206:L211)</f>
        <v>0</v>
      </c>
      <c r="M205" s="155">
        <f t="shared" si="4"/>
        <v>47220</v>
      </c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02"/>
      <c r="AB205" s="102"/>
      <c r="AC205" s="103"/>
    </row>
    <row r="206" spans="1:29" ht="111.75" customHeight="1">
      <c r="A206" s="29"/>
      <c r="B206" s="29"/>
      <c r="C206" s="29"/>
      <c r="D206" s="29"/>
      <c r="E206" s="58" t="s">
        <v>57</v>
      </c>
      <c r="F206" s="44" t="s">
        <v>197</v>
      </c>
      <c r="G206" s="21"/>
      <c r="H206" s="21"/>
      <c r="I206" s="24"/>
      <c r="J206" s="142"/>
      <c r="K206" s="142"/>
      <c r="L206" s="142"/>
      <c r="M206" s="155">
        <f t="shared" si="4"/>
        <v>0</v>
      </c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02"/>
      <c r="AB206" s="102"/>
      <c r="AC206" s="103"/>
    </row>
    <row r="207" spans="1:29" ht="111.75" customHeight="1">
      <c r="A207" s="29"/>
      <c r="B207" s="29"/>
      <c r="C207" s="29"/>
      <c r="D207" s="29"/>
      <c r="E207" s="58" t="s">
        <v>58</v>
      </c>
      <c r="F207" s="44" t="s">
        <v>198</v>
      </c>
      <c r="G207" s="21"/>
      <c r="H207" s="21"/>
      <c r="I207" s="24"/>
      <c r="J207" s="142"/>
      <c r="K207" s="142"/>
      <c r="L207" s="142"/>
      <c r="M207" s="155">
        <f t="shared" si="4"/>
        <v>0</v>
      </c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02"/>
      <c r="AB207" s="102"/>
      <c r="AC207" s="103"/>
    </row>
    <row r="208" spans="1:29" ht="111.75" customHeight="1">
      <c r="A208" s="29"/>
      <c r="B208" s="29"/>
      <c r="C208" s="29"/>
      <c r="D208" s="29"/>
      <c r="E208" s="58" t="s">
        <v>59</v>
      </c>
      <c r="F208" s="44" t="s">
        <v>199</v>
      </c>
      <c r="G208" s="21"/>
      <c r="H208" s="21"/>
      <c r="I208" s="24"/>
      <c r="J208" s="142"/>
      <c r="K208" s="142"/>
      <c r="L208" s="142"/>
      <c r="M208" s="155">
        <f t="shared" si="4"/>
        <v>0</v>
      </c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02"/>
      <c r="AB208" s="102"/>
      <c r="AC208" s="103"/>
    </row>
    <row r="209" spans="1:29" ht="111.75" customHeight="1">
      <c r="A209" s="29"/>
      <c r="B209" s="29"/>
      <c r="C209" s="29"/>
      <c r="D209" s="29"/>
      <c r="E209" s="58" t="s">
        <v>60</v>
      </c>
      <c r="F209" s="44" t="s">
        <v>200</v>
      </c>
      <c r="G209" s="21"/>
      <c r="H209" s="21"/>
      <c r="I209" s="24"/>
      <c r="J209" s="142"/>
      <c r="K209" s="151">
        <f>8590+26330</f>
        <v>34920</v>
      </c>
      <c r="L209" s="142"/>
      <c r="M209" s="155">
        <f t="shared" si="4"/>
        <v>34920</v>
      </c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02"/>
      <c r="AB209" s="102"/>
      <c r="AC209" s="103"/>
    </row>
    <row r="210" spans="1:29" ht="111.75" customHeight="1">
      <c r="A210" s="29"/>
      <c r="B210" s="29"/>
      <c r="C210" s="29"/>
      <c r="D210" s="29"/>
      <c r="E210" s="58" t="s">
        <v>61</v>
      </c>
      <c r="F210" s="44" t="s">
        <v>201</v>
      </c>
      <c r="G210" s="21"/>
      <c r="H210" s="21"/>
      <c r="I210" s="24"/>
      <c r="J210" s="142"/>
      <c r="K210" s="151"/>
      <c r="L210" s="142"/>
      <c r="M210" s="155">
        <f t="shared" si="4"/>
        <v>0</v>
      </c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02"/>
      <c r="AB210" s="102"/>
      <c r="AC210" s="103"/>
    </row>
    <row r="211" spans="1:29" ht="111.75" customHeight="1">
      <c r="A211" s="29"/>
      <c r="B211" s="29"/>
      <c r="C211" s="29"/>
      <c r="D211" s="29"/>
      <c r="E211" s="58" t="s">
        <v>62</v>
      </c>
      <c r="F211" s="44" t="s">
        <v>202</v>
      </c>
      <c r="G211" s="21"/>
      <c r="H211" s="21"/>
      <c r="I211" s="24"/>
      <c r="J211" s="142">
        <v>6800</v>
      </c>
      <c r="K211" s="151">
        <v>5500</v>
      </c>
      <c r="L211" s="142"/>
      <c r="M211" s="155">
        <f t="shared" si="4"/>
        <v>12300</v>
      </c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02"/>
      <c r="AB211" s="102"/>
      <c r="AC211" s="103"/>
    </row>
    <row r="212" spans="1:29" ht="111.75" customHeight="1">
      <c r="A212" s="29"/>
      <c r="B212" s="29"/>
      <c r="C212" s="29"/>
      <c r="D212" s="29" t="s">
        <v>60</v>
      </c>
      <c r="E212" s="58"/>
      <c r="F212" s="18" t="s">
        <v>50</v>
      </c>
      <c r="G212" s="21"/>
      <c r="H212" s="21"/>
      <c r="I212" s="24"/>
      <c r="J212" s="143">
        <f>SUM(J213:J219)</f>
        <v>0</v>
      </c>
      <c r="K212" s="143">
        <f>SUM(K213:K219)</f>
        <v>16650</v>
      </c>
      <c r="L212" s="143">
        <f>SUM(L213:L219)</f>
        <v>0</v>
      </c>
      <c r="M212" s="155">
        <f t="shared" si="4"/>
        <v>16650</v>
      </c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02"/>
      <c r="AB212" s="102"/>
      <c r="AC212" s="103"/>
    </row>
    <row r="213" spans="1:29" ht="111.75" customHeight="1">
      <c r="A213" s="29"/>
      <c r="B213" s="29"/>
      <c r="C213" s="29"/>
      <c r="D213" s="29"/>
      <c r="E213" s="58" t="s">
        <v>57</v>
      </c>
      <c r="F213" s="44" t="s">
        <v>203</v>
      </c>
      <c r="G213" s="21"/>
      <c r="H213" s="21"/>
      <c r="I213" s="24"/>
      <c r="J213" s="142"/>
      <c r="K213" s="142"/>
      <c r="L213" s="142"/>
      <c r="M213" s="155">
        <f t="shared" si="4"/>
        <v>0</v>
      </c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02"/>
      <c r="AB213" s="102"/>
      <c r="AC213" s="103"/>
    </row>
    <row r="214" spans="1:29" ht="111.75" customHeight="1">
      <c r="A214" s="29"/>
      <c r="B214" s="29"/>
      <c r="C214" s="29"/>
      <c r="D214" s="29"/>
      <c r="E214" s="58" t="s">
        <v>58</v>
      </c>
      <c r="F214" s="44" t="s">
        <v>204</v>
      </c>
      <c r="G214" s="21"/>
      <c r="H214" s="21"/>
      <c r="I214" s="24"/>
      <c r="J214" s="142"/>
      <c r="K214" s="142"/>
      <c r="L214" s="142"/>
      <c r="M214" s="155">
        <f t="shared" si="4"/>
        <v>0</v>
      </c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02"/>
      <c r="AB214" s="102"/>
      <c r="AC214" s="103"/>
    </row>
    <row r="215" spans="1:29" ht="111.75" customHeight="1">
      <c r="A215" s="29"/>
      <c r="B215" s="29"/>
      <c r="C215" s="29"/>
      <c r="D215" s="29"/>
      <c r="E215" s="58" t="s">
        <v>59</v>
      </c>
      <c r="F215" s="44" t="s">
        <v>205</v>
      </c>
      <c r="G215" s="21"/>
      <c r="H215" s="21"/>
      <c r="I215" s="24"/>
      <c r="J215" s="142"/>
      <c r="K215" s="142"/>
      <c r="L215" s="142"/>
      <c r="M215" s="155">
        <f t="shared" si="4"/>
        <v>0</v>
      </c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02"/>
      <c r="AB215" s="102"/>
      <c r="AC215" s="103"/>
    </row>
    <row r="216" spans="1:29" ht="111.75" customHeight="1">
      <c r="A216" s="29"/>
      <c r="B216" s="29"/>
      <c r="C216" s="29"/>
      <c r="D216" s="29"/>
      <c r="E216" s="58" t="s">
        <v>60</v>
      </c>
      <c r="F216" s="44" t="s">
        <v>206</v>
      </c>
      <c r="G216" s="21"/>
      <c r="H216" s="21"/>
      <c r="I216" s="24"/>
      <c r="J216" s="142"/>
      <c r="K216" s="151">
        <v>16650</v>
      </c>
      <c r="L216" s="142"/>
      <c r="M216" s="155">
        <f t="shared" si="4"/>
        <v>16650</v>
      </c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02"/>
      <c r="AB216" s="102"/>
      <c r="AC216" s="103"/>
    </row>
    <row r="217" spans="1:29" ht="111.75" customHeight="1">
      <c r="A217" s="29"/>
      <c r="B217" s="29"/>
      <c r="C217" s="29"/>
      <c r="D217" s="29"/>
      <c r="E217" s="58" t="s">
        <v>61</v>
      </c>
      <c r="F217" s="44" t="s">
        <v>207</v>
      </c>
      <c r="G217" s="21"/>
      <c r="H217" s="21"/>
      <c r="I217" s="24"/>
      <c r="J217" s="142"/>
      <c r="K217" s="142"/>
      <c r="L217" s="142"/>
      <c r="M217" s="155">
        <f t="shared" si="4"/>
        <v>0</v>
      </c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02"/>
      <c r="AB217" s="102"/>
      <c r="AC217" s="103"/>
    </row>
    <row r="218" spans="1:29" ht="111.75" customHeight="1">
      <c r="A218" s="29"/>
      <c r="B218" s="29"/>
      <c r="C218" s="29"/>
      <c r="D218" s="29"/>
      <c r="E218" s="58" t="s">
        <v>62</v>
      </c>
      <c r="F218" s="44" t="s">
        <v>208</v>
      </c>
      <c r="G218" s="21"/>
      <c r="H218" s="21"/>
      <c r="I218" s="24"/>
      <c r="J218" s="142"/>
      <c r="K218" s="142"/>
      <c r="L218" s="142"/>
      <c r="M218" s="155">
        <f t="shared" si="4"/>
        <v>0</v>
      </c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02"/>
      <c r="AB218" s="102"/>
      <c r="AC218" s="103"/>
    </row>
    <row r="219" spans="1:29" ht="111.75" customHeight="1">
      <c r="A219" s="29"/>
      <c r="B219" s="29"/>
      <c r="C219" s="29"/>
      <c r="D219" s="29"/>
      <c r="E219" s="58" t="s">
        <v>63</v>
      </c>
      <c r="F219" s="44" t="s">
        <v>209</v>
      </c>
      <c r="G219" s="21"/>
      <c r="H219" s="21"/>
      <c r="I219" s="24"/>
      <c r="J219" s="142"/>
      <c r="K219" s="142"/>
      <c r="L219" s="142"/>
      <c r="M219" s="155">
        <f t="shared" si="4"/>
        <v>0</v>
      </c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02"/>
      <c r="AB219" s="102"/>
      <c r="AC219" s="103"/>
    </row>
    <row r="220" spans="1:29" ht="111.75" customHeight="1">
      <c r="A220" s="29"/>
      <c r="B220" s="29"/>
      <c r="C220" s="29"/>
      <c r="D220" s="29" t="s">
        <v>65</v>
      </c>
      <c r="E220" s="58"/>
      <c r="F220" s="18" t="s">
        <v>210</v>
      </c>
      <c r="G220" s="21"/>
      <c r="H220" s="21"/>
      <c r="I220" s="24"/>
      <c r="J220" s="133"/>
      <c r="K220" s="133"/>
      <c r="L220" s="133"/>
      <c r="M220" s="155">
        <f t="shared" si="4"/>
        <v>0</v>
      </c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02"/>
      <c r="AB220" s="102"/>
      <c r="AC220" s="103"/>
    </row>
    <row r="221" spans="1:29" ht="111.75" customHeight="1">
      <c r="A221" s="29"/>
      <c r="B221" s="29"/>
      <c r="C221" s="29" t="s">
        <v>63</v>
      </c>
      <c r="D221" s="29"/>
      <c r="E221" s="58"/>
      <c r="F221" s="18" t="s">
        <v>211</v>
      </c>
      <c r="G221" s="21"/>
      <c r="H221" s="21"/>
      <c r="I221" s="24"/>
      <c r="J221" s="140">
        <f>J222+J230</f>
        <v>1200000</v>
      </c>
      <c r="K221" s="140">
        <f>K222+K230</f>
        <v>7743568.0200000005</v>
      </c>
      <c r="L221" s="140">
        <f>L222+L230</f>
        <v>675000</v>
      </c>
      <c r="M221" s="155">
        <f aca="true" t="shared" si="6" ref="M221:M284">J221+K221+L221</f>
        <v>9618568.02</v>
      </c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02"/>
      <c r="AB221" s="102"/>
      <c r="AC221" s="103"/>
    </row>
    <row r="222" spans="1:29" ht="111.75" customHeight="1">
      <c r="A222" s="29"/>
      <c r="B222" s="29"/>
      <c r="C222" s="29"/>
      <c r="D222" s="29" t="s">
        <v>57</v>
      </c>
      <c r="E222" s="58"/>
      <c r="F222" s="18" t="s">
        <v>47</v>
      </c>
      <c r="G222" s="21"/>
      <c r="H222" s="21"/>
      <c r="I222" s="24"/>
      <c r="J222" s="140">
        <f>SUM(J223:J229)</f>
        <v>1200000</v>
      </c>
      <c r="K222" s="140">
        <f>SUM(K223:K229)</f>
        <v>5828447.98</v>
      </c>
      <c r="L222" s="140">
        <f>SUM(L223:L229)</f>
        <v>0</v>
      </c>
      <c r="M222" s="155">
        <f t="shared" si="6"/>
        <v>7028447.98</v>
      </c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102"/>
      <c r="AB222" s="102"/>
      <c r="AC222" s="103"/>
    </row>
    <row r="223" spans="1:29" ht="111.75" customHeight="1">
      <c r="A223" s="29"/>
      <c r="B223" s="29"/>
      <c r="C223" s="29"/>
      <c r="D223" s="29"/>
      <c r="E223" s="58" t="s">
        <v>57</v>
      </c>
      <c r="F223" s="44" t="s">
        <v>212</v>
      </c>
      <c r="G223" s="21"/>
      <c r="H223" s="21"/>
      <c r="I223" s="9"/>
      <c r="J223" s="133">
        <v>60000</v>
      </c>
      <c r="K223" s="151">
        <f>235900+43776+59575</f>
        <v>339251</v>
      </c>
      <c r="L223" s="133"/>
      <c r="M223" s="155">
        <f t="shared" si="6"/>
        <v>399251</v>
      </c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02"/>
      <c r="AB223" s="102"/>
      <c r="AC223" s="103"/>
    </row>
    <row r="224" spans="1:29" ht="111.75" customHeight="1">
      <c r="A224" s="29"/>
      <c r="B224" s="29"/>
      <c r="C224" s="29"/>
      <c r="D224" s="29"/>
      <c r="E224" s="58" t="s">
        <v>58</v>
      </c>
      <c r="F224" s="44" t="s">
        <v>213</v>
      </c>
      <c r="G224" s="21"/>
      <c r="H224" s="21"/>
      <c r="I224" s="9"/>
      <c r="J224" s="133">
        <v>1110000</v>
      </c>
      <c r="K224" s="151">
        <f>227700+2010500.1+900000+1449198.88+674462</f>
        <v>5261860.98</v>
      </c>
      <c r="L224" s="133"/>
      <c r="M224" s="155">
        <f t="shared" si="6"/>
        <v>6371860.98</v>
      </c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02"/>
      <c r="AB224" s="102"/>
      <c r="AC224" s="103"/>
    </row>
    <row r="225" spans="1:29" ht="111.75" customHeight="1">
      <c r="A225" s="29"/>
      <c r="B225" s="29"/>
      <c r="C225" s="29"/>
      <c r="D225" s="29"/>
      <c r="E225" s="58" t="s">
        <v>59</v>
      </c>
      <c r="F225" s="44" t="s">
        <v>261</v>
      </c>
      <c r="G225" s="21"/>
      <c r="H225" s="21"/>
      <c r="I225" s="9"/>
      <c r="J225" s="133"/>
      <c r="K225" s="151"/>
      <c r="L225" s="133"/>
      <c r="M225" s="155">
        <f t="shared" si="6"/>
        <v>0</v>
      </c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02"/>
      <c r="AB225" s="102"/>
      <c r="AC225" s="103"/>
    </row>
    <row r="226" spans="1:29" ht="111.75" customHeight="1">
      <c r="A226" s="29"/>
      <c r="B226" s="29"/>
      <c r="C226" s="29"/>
      <c r="D226" s="29"/>
      <c r="E226" s="58" t="s">
        <v>60</v>
      </c>
      <c r="F226" s="44" t="s">
        <v>214</v>
      </c>
      <c r="G226" s="21"/>
      <c r="H226" s="21"/>
      <c r="I226" s="9"/>
      <c r="J226" s="133">
        <v>22000</v>
      </c>
      <c r="K226" s="151">
        <f>43400+40000+27576</f>
        <v>110976</v>
      </c>
      <c r="L226" s="133"/>
      <c r="M226" s="155">
        <f t="shared" si="6"/>
        <v>132976</v>
      </c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02"/>
      <c r="AB226" s="102"/>
      <c r="AC226" s="103"/>
    </row>
    <row r="227" spans="1:29" ht="111.75" customHeight="1">
      <c r="A227" s="29"/>
      <c r="B227" s="29"/>
      <c r="C227" s="29"/>
      <c r="D227" s="29"/>
      <c r="E227" s="58" t="s">
        <v>61</v>
      </c>
      <c r="F227" s="44" t="s">
        <v>215</v>
      </c>
      <c r="G227" s="21"/>
      <c r="H227" s="21"/>
      <c r="I227" s="9"/>
      <c r="J227" s="133">
        <v>3000</v>
      </c>
      <c r="K227" s="151">
        <f>2760+15090</f>
        <v>17850</v>
      </c>
      <c r="L227" s="133"/>
      <c r="M227" s="155">
        <f t="shared" si="6"/>
        <v>20850</v>
      </c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02"/>
      <c r="AB227" s="102"/>
      <c r="AC227" s="103"/>
    </row>
    <row r="228" spans="1:29" ht="111.75" customHeight="1">
      <c r="A228" s="29"/>
      <c r="B228" s="29"/>
      <c r="C228" s="29"/>
      <c r="D228" s="29"/>
      <c r="E228" s="58" t="s">
        <v>62</v>
      </c>
      <c r="F228" s="44" t="s">
        <v>216</v>
      </c>
      <c r="G228" s="21"/>
      <c r="H228" s="21"/>
      <c r="I228" s="9"/>
      <c r="J228" s="133">
        <v>5000</v>
      </c>
      <c r="K228" s="151">
        <f>63720+12000+22790</f>
        <v>98510</v>
      </c>
      <c r="L228" s="133"/>
      <c r="M228" s="155">
        <f t="shared" si="6"/>
        <v>103510</v>
      </c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02"/>
      <c r="AB228" s="102"/>
      <c r="AC228" s="103"/>
    </row>
    <row r="229" spans="1:29" ht="111.75" customHeight="1">
      <c r="A229" s="29"/>
      <c r="B229" s="29"/>
      <c r="C229" s="29"/>
      <c r="D229" s="29"/>
      <c r="E229" s="58" t="s">
        <v>63</v>
      </c>
      <c r="F229" s="44" t="s">
        <v>304</v>
      </c>
      <c r="G229" s="21"/>
      <c r="H229" s="21"/>
      <c r="I229" s="9"/>
      <c r="J229" s="133"/>
      <c r="K229" s="133"/>
      <c r="L229" s="133"/>
      <c r="M229" s="155">
        <f t="shared" si="6"/>
        <v>0</v>
      </c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02"/>
      <c r="AB229" s="102"/>
      <c r="AC229" s="103"/>
    </row>
    <row r="230" spans="1:29" ht="111.75" customHeight="1">
      <c r="A230" s="29"/>
      <c r="B230" s="29"/>
      <c r="C230" s="29"/>
      <c r="D230" s="29" t="s">
        <v>58</v>
      </c>
      <c r="E230" s="58"/>
      <c r="F230" s="18" t="s">
        <v>48</v>
      </c>
      <c r="G230" s="21"/>
      <c r="H230" s="21"/>
      <c r="I230" s="9"/>
      <c r="J230" s="140">
        <f>SUM(J231:J236)</f>
        <v>0</v>
      </c>
      <c r="K230" s="140">
        <f>SUM(K231:K236)</f>
        <v>1915120.04</v>
      </c>
      <c r="L230" s="140">
        <f>SUM(L231:L236)</f>
        <v>675000</v>
      </c>
      <c r="M230" s="155">
        <f t="shared" si="6"/>
        <v>2590120.04</v>
      </c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02"/>
      <c r="AB230" s="102"/>
      <c r="AC230" s="103"/>
    </row>
    <row r="231" spans="1:29" ht="111.75" customHeight="1">
      <c r="A231" s="29"/>
      <c r="B231" s="29"/>
      <c r="C231" s="29"/>
      <c r="D231" s="29"/>
      <c r="E231" s="58" t="s">
        <v>57</v>
      </c>
      <c r="F231" s="44" t="s">
        <v>217</v>
      </c>
      <c r="G231" s="21"/>
      <c r="H231" s="21"/>
      <c r="I231" s="9"/>
      <c r="J231" s="133">
        <v>0</v>
      </c>
      <c r="K231" s="133">
        <v>0</v>
      </c>
      <c r="L231" s="133">
        <v>0</v>
      </c>
      <c r="M231" s="155">
        <f t="shared" si="6"/>
        <v>0</v>
      </c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02"/>
      <c r="AB231" s="102"/>
      <c r="AC231" s="103"/>
    </row>
    <row r="232" spans="1:29" ht="111.75" customHeight="1">
      <c r="A232" s="29"/>
      <c r="B232" s="29"/>
      <c r="C232" s="29"/>
      <c r="D232" s="29"/>
      <c r="E232" s="58" t="s">
        <v>58</v>
      </c>
      <c r="F232" s="44" t="s">
        <v>218</v>
      </c>
      <c r="G232" s="21"/>
      <c r="H232" s="21"/>
      <c r="I232" s="9"/>
      <c r="J232" s="133"/>
      <c r="K232" s="133"/>
      <c r="L232" s="133"/>
      <c r="M232" s="155">
        <f t="shared" si="6"/>
        <v>0</v>
      </c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02"/>
      <c r="AB232" s="102"/>
      <c r="AC232" s="103"/>
    </row>
    <row r="233" spans="1:29" ht="111.75" customHeight="1">
      <c r="A233" s="29"/>
      <c r="B233" s="29"/>
      <c r="C233" s="29"/>
      <c r="D233" s="29"/>
      <c r="E233" s="58" t="s">
        <v>59</v>
      </c>
      <c r="F233" s="44" t="s">
        <v>219</v>
      </c>
      <c r="G233" s="21"/>
      <c r="H233" s="21"/>
      <c r="I233" s="9"/>
      <c r="J233" s="133"/>
      <c r="K233" s="133"/>
      <c r="L233" s="133">
        <v>25000</v>
      </c>
      <c r="M233" s="155">
        <f t="shared" si="6"/>
        <v>25000</v>
      </c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02"/>
      <c r="AB233" s="102"/>
      <c r="AC233" s="103"/>
    </row>
    <row r="234" spans="1:29" ht="111.75" customHeight="1">
      <c r="A234" s="29"/>
      <c r="B234" s="29"/>
      <c r="C234" s="29"/>
      <c r="D234" s="29"/>
      <c r="E234" s="58" t="s">
        <v>60</v>
      </c>
      <c r="F234" s="44" t="s">
        <v>220</v>
      </c>
      <c r="G234" s="21"/>
      <c r="H234" s="21"/>
      <c r="I234" s="9"/>
      <c r="J234" s="133"/>
      <c r="K234" s="133">
        <v>1137688.44</v>
      </c>
      <c r="L234" s="133">
        <v>325000</v>
      </c>
      <c r="M234" s="155">
        <f t="shared" si="6"/>
        <v>1462688.44</v>
      </c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02"/>
      <c r="AB234" s="102"/>
      <c r="AC234" s="103"/>
    </row>
    <row r="235" spans="1:29" ht="111.75" customHeight="1">
      <c r="A235" s="29"/>
      <c r="B235" s="29"/>
      <c r="C235" s="29"/>
      <c r="D235" s="29"/>
      <c r="E235" s="58" t="s">
        <v>61</v>
      </c>
      <c r="F235" s="44" t="s">
        <v>221</v>
      </c>
      <c r="G235" s="21"/>
      <c r="H235" s="21"/>
      <c r="I235" s="9"/>
      <c r="J235" s="133"/>
      <c r="K235" s="151">
        <f>74400+560891.6</f>
        <v>635291.6</v>
      </c>
      <c r="L235" s="133">
        <v>325000</v>
      </c>
      <c r="M235" s="155">
        <f t="shared" si="6"/>
        <v>960291.6</v>
      </c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02"/>
      <c r="AB235" s="102"/>
      <c r="AC235" s="103"/>
    </row>
    <row r="236" spans="1:29" ht="111.75" customHeight="1">
      <c r="A236" s="29"/>
      <c r="B236" s="29"/>
      <c r="C236" s="29"/>
      <c r="D236" s="29"/>
      <c r="E236" s="58" t="s">
        <v>62</v>
      </c>
      <c r="F236" s="44" t="s">
        <v>262</v>
      </c>
      <c r="G236" s="21"/>
      <c r="H236" s="21"/>
      <c r="I236" s="9"/>
      <c r="J236" s="133">
        <v>0</v>
      </c>
      <c r="K236" s="151">
        <f>105000+37140</f>
        <v>142140</v>
      </c>
      <c r="L236" s="133">
        <v>0</v>
      </c>
      <c r="M236" s="155">
        <f t="shared" si="6"/>
        <v>142140</v>
      </c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02"/>
      <c r="AB236" s="102"/>
      <c r="AC236" s="103"/>
    </row>
    <row r="237" spans="1:29" ht="111.75" customHeight="1">
      <c r="A237" s="29"/>
      <c r="B237" s="29"/>
      <c r="C237" s="29" t="s">
        <v>65</v>
      </c>
      <c r="D237" s="29"/>
      <c r="E237" s="58"/>
      <c r="F237" s="18" t="s">
        <v>222</v>
      </c>
      <c r="G237" s="21"/>
      <c r="H237" s="21"/>
      <c r="I237" s="9"/>
      <c r="J237" s="140">
        <f>SUM(J238:J246)</f>
        <v>438000</v>
      </c>
      <c r="K237" s="140">
        <f>SUM(K238:K246)</f>
        <v>1060548.72</v>
      </c>
      <c r="L237" s="140">
        <f>SUM(L238:L246)</f>
        <v>135000</v>
      </c>
      <c r="M237" s="155">
        <f t="shared" si="6"/>
        <v>1633548.72</v>
      </c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102"/>
      <c r="AB237" s="102"/>
      <c r="AC237" s="103"/>
    </row>
    <row r="238" spans="1:30" ht="111.75" customHeight="1">
      <c r="A238" s="29"/>
      <c r="B238" s="29"/>
      <c r="C238" s="29"/>
      <c r="D238" s="29" t="s">
        <v>57</v>
      </c>
      <c r="E238" s="58"/>
      <c r="F238" s="147" t="s">
        <v>51</v>
      </c>
      <c r="G238" s="21"/>
      <c r="H238" s="21"/>
      <c r="I238" s="24"/>
      <c r="J238" s="133">
        <v>60000</v>
      </c>
      <c r="K238" s="151">
        <f>101922+60000+120000</f>
        <v>281922</v>
      </c>
      <c r="L238" s="133"/>
      <c r="M238" s="155">
        <f t="shared" si="6"/>
        <v>341922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02"/>
      <c r="AB238" s="102"/>
      <c r="AC238" s="103"/>
      <c r="AD238" s="4"/>
    </row>
    <row r="239" spans="1:30" ht="111.75" customHeight="1">
      <c r="A239" s="29"/>
      <c r="B239" s="29"/>
      <c r="C239" s="29"/>
      <c r="D239" s="29" t="s">
        <v>58</v>
      </c>
      <c r="E239" s="58"/>
      <c r="F239" s="147" t="s">
        <v>223</v>
      </c>
      <c r="G239" s="21"/>
      <c r="H239" s="21"/>
      <c r="I239" s="9"/>
      <c r="J239" s="133">
        <v>360000</v>
      </c>
      <c r="K239" s="151">
        <f>1500+114401.5+100000+142102.26+975</f>
        <v>358978.76</v>
      </c>
      <c r="L239" s="133"/>
      <c r="M239" s="155">
        <f t="shared" si="6"/>
        <v>718978.76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02"/>
      <c r="AB239" s="102"/>
      <c r="AC239" s="103"/>
      <c r="AD239" s="4"/>
    </row>
    <row r="240" spans="1:30" ht="111.75" customHeight="1">
      <c r="A240" s="29"/>
      <c r="B240" s="29"/>
      <c r="C240" s="29"/>
      <c r="D240" s="29" t="s">
        <v>59</v>
      </c>
      <c r="E240" s="58"/>
      <c r="F240" s="147" t="s">
        <v>52</v>
      </c>
      <c r="G240" s="21"/>
      <c r="H240" s="21"/>
      <c r="I240" s="9"/>
      <c r="J240" s="133"/>
      <c r="K240" s="151"/>
      <c r="L240" s="133"/>
      <c r="M240" s="155">
        <f t="shared" si="6"/>
        <v>0</v>
      </c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02"/>
      <c r="AB240" s="102"/>
      <c r="AC240" s="103"/>
      <c r="AD240" s="4"/>
    </row>
    <row r="241" spans="1:30" ht="111.75" customHeight="1">
      <c r="A241" s="29"/>
      <c r="B241" s="29"/>
      <c r="C241" s="29"/>
      <c r="D241" s="29" t="s">
        <v>60</v>
      </c>
      <c r="E241" s="58"/>
      <c r="F241" s="147" t="s">
        <v>224</v>
      </c>
      <c r="G241" s="21"/>
      <c r="H241" s="21"/>
      <c r="I241" s="9"/>
      <c r="J241" s="133"/>
      <c r="K241" s="151"/>
      <c r="L241" s="133"/>
      <c r="M241" s="155">
        <f t="shared" si="6"/>
        <v>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02"/>
      <c r="AB241" s="102"/>
      <c r="AC241" s="103"/>
      <c r="AD241" s="4"/>
    </row>
    <row r="242" spans="1:30" ht="111.75" customHeight="1">
      <c r="A242" s="29"/>
      <c r="B242" s="29"/>
      <c r="C242" s="29"/>
      <c r="D242" s="29" t="s">
        <v>61</v>
      </c>
      <c r="E242" s="58"/>
      <c r="F242" s="147" t="s">
        <v>53</v>
      </c>
      <c r="G242" s="21"/>
      <c r="H242" s="21"/>
      <c r="I242" s="9"/>
      <c r="J242" s="133"/>
      <c r="K242" s="151">
        <f>9000+6000</f>
        <v>15000</v>
      </c>
      <c r="L242" s="133"/>
      <c r="M242" s="155">
        <f t="shared" si="6"/>
        <v>15000</v>
      </c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02"/>
      <c r="AB242" s="102"/>
      <c r="AC242" s="103"/>
      <c r="AD242" s="4"/>
    </row>
    <row r="243" spans="1:30" ht="111.75" customHeight="1">
      <c r="A243" s="29"/>
      <c r="B243" s="29"/>
      <c r="C243" s="29"/>
      <c r="D243" s="29" t="s">
        <v>62</v>
      </c>
      <c r="E243" s="58"/>
      <c r="F243" s="147" t="s">
        <v>54</v>
      </c>
      <c r="G243" s="21"/>
      <c r="H243" s="21"/>
      <c r="I243" s="9"/>
      <c r="J243" s="133">
        <v>15000</v>
      </c>
      <c r="K243" s="151">
        <f>163000+18000</f>
        <v>181000</v>
      </c>
      <c r="L243" s="133">
        <v>135000</v>
      </c>
      <c r="M243" s="155">
        <f t="shared" si="6"/>
        <v>331000</v>
      </c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02"/>
      <c r="AB243" s="102"/>
      <c r="AC243" s="103"/>
      <c r="AD243" s="4"/>
    </row>
    <row r="244" spans="1:30" ht="111.75" customHeight="1">
      <c r="A244" s="29"/>
      <c r="B244" s="29"/>
      <c r="C244" s="29"/>
      <c r="D244" s="29" t="s">
        <v>63</v>
      </c>
      <c r="E244" s="58"/>
      <c r="F244" s="147" t="s">
        <v>225</v>
      </c>
      <c r="G244" s="21"/>
      <c r="H244" s="21"/>
      <c r="I244" s="9"/>
      <c r="J244" s="133"/>
      <c r="K244" s="151"/>
      <c r="L244" s="133"/>
      <c r="M244" s="155">
        <f t="shared" si="6"/>
        <v>0</v>
      </c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02"/>
      <c r="AB244" s="102"/>
      <c r="AC244" s="103"/>
      <c r="AD244" s="4"/>
    </row>
    <row r="245" spans="1:30" ht="111.75" customHeight="1">
      <c r="A245" s="29"/>
      <c r="B245" s="29"/>
      <c r="C245" s="29"/>
      <c r="D245" s="29" t="s">
        <v>64</v>
      </c>
      <c r="E245" s="58"/>
      <c r="F245" s="147" t="s">
        <v>226</v>
      </c>
      <c r="G245" s="21"/>
      <c r="H245" s="21"/>
      <c r="I245" s="9"/>
      <c r="J245" s="133"/>
      <c r="K245" s="151">
        <v>2000</v>
      </c>
      <c r="L245" s="133"/>
      <c r="M245" s="155">
        <f t="shared" si="6"/>
        <v>2000</v>
      </c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02"/>
      <c r="AB245" s="102"/>
      <c r="AC245" s="103"/>
      <c r="AD245" s="4"/>
    </row>
    <row r="246" spans="1:30" ht="111.75" customHeight="1">
      <c r="A246" s="29"/>
      <c r="B246" s="29"/>
      <c r="C246" s="29"/>
      <c r="D246" s="29" t="s">
        <v>65</v>
      </c>
      <c r="E246" s="58"/>
      <c r="F246" s="147" t="s">
        <v>263</v>
      </c>
      <c r="G246" s="21"/>
      <c r="H246" s="21"/>
      <c r="I246" s="9"/>
      <c r="J246" s="133">
        <v>3000</v>
      </c>
      <c r="K246" s="151">
        <f>9000+24000+188647.96</f>
        <v>221647.96</v>
      </c>
      <c r="L246" s="133"/>
      <c r="M246" s="155">
        <f t="shared" si="6"/>
        <v>224647.96</v>
      </c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02"/>
      <c r="AB246" s="102"/>
      <c r="AC246" s="103"/>
      <c r="AD246" s="4"/>
    </row>
    <row r="247" spans="1:30" ht="111.75" customHeight="1">
      <c r="A247" s="29"/>
      <c r="B247" s="29" t="s">
        <v>60</v>
      </c>
      <c r="C247" s="29"/>
      <c r="D247" s="29"/>
      <c r="E247" s="58"/>
      <c r="F247" s="18" t="s">
        <v>227</v>
      </c>
      <c r="G247" s="21"/>
      <c r="H247" s="21"/>
      <c r="I247" s="9"/>
      <c r="J247" s="140">
        <f>J248</f>
        <v>0</v>
      </c>
      <c r="K247" s="140">
        <f>K248</f>
        <v>0</v>
      </c>
      <c r="L247" s="140">
        <f aca="true" t="shared" si="7" ref="L247:Y247">L248</f>
        <v>0</v>
      </c>
      <c r="M247" s="155">
        <f t="shared" si="6"/>
        <v>0</v>
      </c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102"/>
      <c r="AB247" s="102"/>
      <c r="AC247" s="103"/>
      <c r="AD247" s="4"/>
    </row>
    <row r="248" spans="1:30" ht="111.75" customHeight="1">
      <c r="A248" s="29"/>
      <c r="B248" s="29"/>
      <c r="C248" s="29" t="s">
        <v>57</v>
      </c>
      <c r="D248" s="29"/>
      <c r="E248" s="58"/>
      <c r="F248" s="18" t="s">
        <v>228</v>
      </c>
      <c r="G248" s="21"/>
      <c r="H248" s="21"/>
      <c r="I248" s="9"/>
      <c r="J248" s="140">
        <f>J249+J253+J256+J259+J260</f>
        <v>0</v>
      </c>
      <c r="K248" s="140">
        <f>K249+K253+K256+K259+K260</f>
        <v>0</v>
      </c>
      <c r="L248" s="140">
        <f>L249+L253+L256+L259+L260</f>
        <v>0</v>
      </c>
      <c r="M248" s="155">
        <f t="shared" si="6"/>
        <v>0</v>
      </c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102"/>
      <c r="AB248" s="102"/>
      <c r="AC248" s="103"/>
      <c r="AD248" s="4"/>
    </row>
    <row r="249" spans="1:30" ht="111.75" customHeight="1">
      <c r="A249" s="29"/>
      <c r="B249" s="29"/>
      <c r="C249" s="29"/>
      <c r="D249" s="29" t="s">
        <v>57</v>
      </c>
      <c r="E249" s="58"/>
      <c r="F249" s="18" t="s">
        <v>55</v>
      </c>
      <c r="G249" s="21"/>
      <c r="H249" s="21"/>
      <c r="I249" s="9"/>
      <c r="J249" s="140">
        <f>SUM(J250:J252)</f>
        <v>0</v>
      </c>
      <c r="K249" s="140">
        <f>SUM(K250:K252)</f>
        <v>0</v>
      </c>
      <c r="L249" s="140">
        <f>SUM(L250:L252)</f>
        <v>0</v>
      </c>
      <c r="M249" s="155">
        <f t="shared" si="6"/>
        <v>0</v>
      </c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102"/>
      <c r="AB249" s="102"/>
      <c r="AC249" s="103"/>
      <c r="AD249" s="4"/>
    </row>
    <row r="250" spans="1:30" ht="111.75" customHeight="1">
      <c r="A250" s="29"/>
      <c r="B250" s="29"/>
      <c r="C250" s="29"/>
      <c r="D250" s="29"/>
      <c r="E250" s="58" t="s">
        <v>57</v>
      </c>
      <c r="F250" s="44" t="s">
        <v>229</v>
      </c>
      <c r="G250" s="21"/>
      <c r="H250" s="21"/>
      <c r="I250" s="9"/>
      <c r="J250" s="133">
        <v>0</v>
      </c>
      <c r="K250" s="133">
        <v>0</v>
      </c>
      <c r="L250" s="133">
        <v>0</v>
      </c>
      <c r="M250" s="155">
        <f t="shared" si="6"/>
        <v>0</v>
      </c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02"/>
      <c r="AB250" s="102"/>
      <c r="AC250" s="103"/>
      <c r="AD250" s="4"/>
    </row>
    <row r="251" spans="1:30" ht="111.75" customHeight="1">
      <c r="A251" s="29"/>
      <c r="B251" s="29"/>
      <c r="C251" s="29"/>
      <c r="D251" s="29"/>
      <c r="E251" s="58" t="s">
        <v>58</v>
      </c>
      <c r="F251" s="44" t="s">
        <v>230</v>
      </c>
      <c r="G251" s="21"/>
      <c r="H251" s="21"/>
      <c r="I251" s="9"/>
      <c r="J251" s="133">
        <v>0</v>
      </c>
      <c r="K251" s="133">
        <v>0</v>
      </c>
      <c r="L251" s="133">
        <v>0</v>
      </c>
      <c r="M251" s="155">
        <f t="shared" si="6"/>
        <v>0</v>
      </c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02"/>
      <c r="AB251" s="102"/>
      <c r="AC251" s="103"/>
      <c r="AD251" s="4"/>
    </row>
    <row r="252" spans="1:30" ht="111.75" customHeight="1">
      <c r="A252" s="29"/>
      <c r="B252" s="29"/>
      <c r="C252" s="29"/>
      <c r="D252" s="29"/>
      <c r="E252" s="58" t="s">
        <v>59</v>
      </c>
      <c r="F252" s="44" t="s">
        <v>231</v>
      </c>
      <c r="G252" s="21"/>
      <c r="H252" s="21"/>
      <c r="I252" s="9"/>
      <c r="J252" s="133">
        <v>0</v>
      </c>
      <c r="K252" s="133">
        <v>0</v>
      </c>
      <c r="L252" s="133">
        <v>0</v>
      </c>
      <c r="M252" s="155">
        <f t="shared" si="6"/>
        <v>0</v>
      </c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02"/>
      <c r="AB252" s="102"/>
      <c r="AC252" s="103"/>
      <c r="AD252" s="4"/>
    </row>
    <row r="253" spans="1:30" ht="111.75" customHeight="1">
      <c r="A253" s="29"/>
      <c r="B253" s="29"/>
      <c r="C253" s="29"/>
      <c r="D253" s="29" t="s">
        <v>58</v>
      </c>
      <c r="E253" s="58"/>
      <c r="F253" s="18" t="s">
        <v>232</v>
      </c>
      <c r="G253" s="21"/>
      <c r="H253" s="21"/>
      <c r="I253" s="9"/>
      <c r="J253" s="140">
        <f>SUM(J254:J255)</f>
        <v>0</v>
      </c>
      <c r="K253" s="140">
        <f>SUM(K254:K255)</f>
        <v>0</v>
      </c>
      <c r="L253" s="140">
        <f>SUM(L254:L255)</f>
        <v>0</v>
      </c>
      <c r="M253" s="155">
        <f t="shared" si="6"/>
        <v>0</v>
      </c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102"/>
      <c r="AB253" s="102"/>
      <c r="AC253" s="103"/>
      <c r="AD253" s="4"/>
    </row>
    <row r="254" spans="1:30" ht="111.75" customHeight="1">
      <c r="A254" s="29"/>
      <c r="B254" s="29"/>
      <c r="C254" s="29"/>
      <c r="D254" s="29"/>
      <c r="E254" s="58" t="s">
        <v>57</v>
      </c>
      <c r="F254" s="44" t="s">
        <v>233</v>
      </c>
      <c r="G254" s="21"/>
      <c r="H254" s="21"/>
      <c r="I254" s="9"/>
      <c r="J254" s="133"/>
      <c r="K254" s="133"/>
      <c r="L254" s="133"/>
      <c r="M254" s="155">
        <f t="shared" si="6"/>
        <v>0</v>
      </c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02"/>
      <c r="AB254" s="102"/>
      <c r="AC254" s="103"/>
      <c r="AD254" s="4"/>
    </row>
    <row r="255" spans="1:30" ht="111.75" customHeight="1">
      <c r="A255" s="29"/>
      <c r="B255" s="29"/>
      <c r="C255" s="29"/>
      <c r="D255" s="29"/>
      <c r="E255" s="58" t="s">
        <v>58</v>
      </c>
      <c r="F255" s="44" t="s">
        <v>234</v>
      </c>
      <c r="G255" s="21"/>
      <c r="H255" s="21"/>
      <c r="I255" s="9"/>
      <c r="J255" s="133"/>
      <c r="K255" s="133"/>
      <c r="L255" s="133"/>
      <c r="M255" s="155">
        <f t="shared" si="6"/>
        <v>0</v>
      </c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02"/>
      <c r="AB255" s="102"/>
      <c r="AC255" s="103"/>
      <c r="AD255" s="4"/>
    </row>
    <row r="256" spans="1:30" ht="111.75" customHeight="1">
      <c r="A256" s="29"/>
      <c r="B256" s="29"/>
      <c r="C256" s="29"/>
      <c r="D256" s="29" t="s">
        <v>60</v>
      </c>
      <c r="E256" s="58"/>
      <c r="F256" s="18" t="s">
        <v>235</v>
      </c>
      <c r="G256" s="21"/>
      <c r="H256" s="21"/>
      <c r="I256" s="9"/>
      <c r="J256" s="140">
        <f>SUM(J257:J258)</f>
        <v>0</v>
      </c>
      <c r="K256" s="140">
        <f>SUM(K257:K258)</f>
        <v>0</v>
      </c>
      <c r="L256" s="140">
        <f>SUM(L257:L258)</f>
        <v>0</v>
      </c>
      <c r="M256" s="155">
        <f t="shared" si="6"/>
        <v>0</v>
      </c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102"/>
      <c r="AB256" s="102"/>
      <c r="AC256" s="103"/>
      <c r="AD256" s="4"/>
    </row>
    <row r="257" spans="1:30" ht="111.75" customHeight="1">
      <c r="A257" s="29"/>
      <c r="B257" s="29"/>
      <c r="C257" s="29"/>
      <c r="D257" s="29"/>
      <c r="E257" s="58" t="s">
        <v>57</v>
      </c>
      <c r="F257" s="44" t="s">
        <v>236</v>
      </c>
      <c r="G257" s="21"/>
      <c r="H257" s="21"/>
      <c r="I257" s="9"/>
      <c r="J257" s="133"/>
      <c r="K257" s="133"/>
      <c r="L257" s="133"/>
      <c r="M257" s="155">
        <f t="shared" si="6"/>
        <v>0</v>
      </c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02"/>
      <c r="AB257" s="102"/>
      <c r="AC257" s="103"/>
      <c r="AD257" s="4"/>
    </row>
    <row r="258" spans="1:30" ht="111.75" customHeight="1">
      <c r="A258" s="65"/>
      <c r="B258" s="65"/>
      <c r="C258" s="65"/>
      <c r="D258" s="65"/>
      <c r="E258" s="66" t="s">
        <v>58</v>
      </c>
      <c r="F258" s="67" t="s">
        <v>237</v>
      </c>
      <c r="G258" s="49"/>
      <c r="H258" s="49"/>
      <c r="I258" s="47"/>
      <c r="J258" s="133"/>
      <c r="K258" s="133"/>
      <c r="L258" s="133"/>
      <c r="M258" s="155">
        <f t="shared" si="6"/>
        <v>0</v>
      </c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102"/>
      <c r="AB258" s="102"/>
      <c r="AC258" s="103"/>
      <c r="AD258" s="4"/>
    </row>
    <row r="259" spans="1:30" ht="111.75" customHeight="1">
      <c r="A259" s="65"/>
      <c r="B259" s="65"/>
      <c r="C259" s="65"/>
      <c r="D259" s="65" t="s">
        <v>61</v>
      </c>
      <c r="E259" s="66"/>
      <c r="F259" s="68" t="s">
        <v>305</v>
      </c>
      <c r="G259" s="49"/>
      <c r="H259" s="49"/>
      <c r="I259" s="47"/>
      <c r="J259" s="144"/>
      <c r="K259" s="144"/>
      <c r="L259" s="144"/>
      <c r="M259" s="155">
        <f t="shared" si="6"/>
        <v>0</v>
      </c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102"/>
      <c r="AB259" s="102"/>
      <c r="AC259" s="103"/>
      <c r="AD259" s="4"/>
    </row>
    <row r="260" spans="1:29" s="36" customFormat="1" ht="111.75" customHeight="1">
      <c r="A260" s="65"/>
      <c r="B260" s="65"/>
      <c r="C260" s="65"/>
      <c r="D260" s="65" t="s">
        <v>62</v>
      </c>
      <c r="E260" s="132"/>
      <c r="F260" s="68" t="s">
        <v>306</v>
      </c>
      <c r="G260" s="85"/>
      <c r="H260" s="85"/>
      <c r="I260" s="83"/>
      <c r="J260" s="145">
        <f>SUM(J261)</f>
        <v>0</v>
      </c>
      <c r="K260" s="145">
        <f>SUM(K261)</f>
        <v>0</v>
      </c>
      <c r="L260" s="145">
        <f>SUM(L261)</f>
        <v>0</v>
      </c>
      <c r="M260" s="155">
        <f t="shared" si="6"/>
        <v>0</v>
      </c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120"/>
      <c r="AB260" s="120"/>
      <c r="AC260" s="129"/>
    </row>
    <row r="261" spans="1:30" ht="111.75" customHeight="1">
      <c r="A261" s="65"/>
      <c r="B261" s="65"/>
      <c r="C261" s="65"/>
      <c r="D261" s="65"/>
      <c r="E261" s="66" t="s">
        <v>57</v>
      </c>
      <c r="F261" s="67" t="s">
        <v>307</v>
      </c>
      <c r="G261" s="49"/>
      <c r="H261" s="49"/>
      <c r="I261" s="47"/>
      <c r="J261" s="144"/>
      <c r="K261" s="144"/>
      <c r="L261" s="144"/>
      <c r="M261" s="155">
        <f t="shared" si="6"/>
        <v>0</v>
      </c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102"/>
      <c r="AB261" s="102"/>
      <c r="AC261" s="103"/>
      <c r="AD261" s="4"/>
    </row>
    <row r="262" spans="1:30" ht="111.75" customHeight="1">
      <c r="A262" s="65"/>
      <c r="B262" s="65" t="s">
        <v>61</v>
      </c>
      <c r="C262" s="65"/>
      <c r="D262" s="65"/>
      <c r="E262" s="66"/>
      <c r="F262" s="68" t="s">
        <v>238</v>
      </c>
      <c r="G262" s="49"/>
      <c r="H262" s="49"/>
      <c r="I262" s="47"/>
      <c r="J262" s="145">
        <f>J263</f>
        <v>0</v>
      </c>
      <c r="K262" s="145">
        <f>K263</f>
        <v>0</v>
      </c>
      <c r="L262" s="145">
        <f aca="true" t="shared" si="8" ref="L262:Y262">L263</f>
        <v>0</v>
      </c>
      <c r="M262" s="155">
        <f t="shared" si="6"/>
        <v>0</v>
      </c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102"/>
      <c r="AB262" s="102"/>
      <c r="AC262" s="103"/>
      <c r="AD262" s="4"/>
    </row>
    <row r="263" spans="1:30" ht="111.75" customHeight="1">
      <c r="A263" s="65"/>
      <c r="B263" s="65"/>
      <c r="C263" s="65" t="s">
        <v>62</v>
      </c>
      <c r="D263" s="65"/>
      <c r="E263" s="66"/>
      <c r="F263" s="68" t="s">
        <v>239</v>
      </c>
      <c r="G263" s="49"/>
      <c r="H263" s="49"/>
      <c r="I263" s="47"/>
      <c r="J263" s="145">
        <f>SUM(J264:J265)</f>
        <v>0</v>
      </c>
      <c r="K263" s="145">
        <f>SUM(K264:K265)</f>
        <v>0</v>
      </c>
      <c r="L263" s="145">
        <f>SUM(L264:L265)</f>
        <v>0</v>
      </c>
      <c r="M263" s="155">
        <f t="shared" si="6"/>
        <v>0</v>
      </c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102"/>
      <c r="AB263" s="102"/>
      <c r="AC263" s="103"/>
      <c r="AD263" s="4"/>
    </row>
    <row r="264" spans="1:30" ht="111.75" customHeight="1">
      <c r="A264" s="65"/>
      <c r="B264" s="65"/>
      <c r="C264" s="69"/>
      <c r="D264" s="69">
        <v>2</v>
      </c>
      <c r="E264" s="70"/>
      <c r="F264" s="71" t="s">
        <v>240</v>
      </c>
      <c r="G264" s="47"/>
      <c r="H264" s="47"/>
      <c r="I264" s="48"/>
      <c r="J264" s="144">
        <v>0</v>
      </c>
      <c r="K264" s="144">
        <v>0</v>
      </c>
      <c r="L264" s="144">
        <v>0</v>
      </c>
      <c r="M264" s="155">
        <f t="shared" si="6"/>
        <v>0</v>
      </c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102"/>
      <c r="AB264" s="102"/>
      <c r="AC264" s="103"/>
      <c r="AD264" s="4"/>
    </row>
    <row r="265" spans="1:30" ht="111.75" customHeight="1">
      <c r="A265" s="65"/>
      <c r="B265" s="65"/>
      <c r="C265" s="79"/>
      <c r="D265" s="69">
        <v>3</v>
      </c>
      <c r="E265" s="70"/>
      <c r="F265" s="71" t="s">
        <v>241</v>
      </c>
      <c r="G265" s="47"/>
      <c r="H265" s="47"/>
      <c r="I265" s="48"/>
      <c r="J265" s="144">
        <v>0</v>
      </c>
      <c r="K265" s="144">
        <v>0</v>
      </c>
      <c r="L265" s="144">
        <v>0</v>
      </c>
      <c r="M265" s="155">
        <f t="shared" si="6"/>
        <v>0</v>
      </c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102"/>
      <c r="AB265" s="102"/>
      <c r="AC265" s="103"/>
      <c r="AD265" s="4"/>
    </row>
    <row r="266" spans="1:30" ht="111.75" customHeight="1">
      <c r="A266" s="65"/>
      <c r="B266" s="65" t="s">
        <v>62</v>
      </c>
      <c r="C266" s="69"/>
      <c r="D266" s="69"/>
      <c r="E266" s="70"/>
      <c r="F266" s="71" t="s">
        <v>242</v>
      </c>
      <c r="G266" s="47"/>
      <c r="H266" s="47"/>
      <c r="I266" s="48"/>
      <c r="J266" s="145">
        <f>J267+J273+J278+J283+J288+J297+J307</f>
        <v>36000</v>
      </c>
      <c r="K266" s="145">
        <f>K267+K273+K278+K283+K288+K297+K307</f>
        <v>269600</v>
      </c>
      <c r="L266" s="145">
        <f>L267+L273+L278+L283+L288+L297+L307</f>
        <v>400000</v>
      </c>
      <c r="M266" s="155">
        <f t="shared" si="6"/>
        <v>705600</v>
      </c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102"/>
      <c r="AB266" s="102"/>
      <c r="AC266" s="103"/>
      <c r="AD266" s="4"/>
    </row>
    <row r="267" spans="1:30" ht="111.75" customHeight="1">
      <c r="A267" s="65"/>
      <c r="B267" s="65"/>
      <c r="C267" s="69">
        <v>1</v>
      </c>
      <c r="D267" s="69"/>
      <c r="E267" s="70"/>
      <c r="F267" s="71" t="s">
        <v>243</v>
      </c>
      <c r="G267" s="47"/>
      <c r="H267" s="47"/>
      <c r="I267" s="48"/>
      <c r="J267" s="145">
        <f>SUM(J268:J272)</f>
        <v>36000</v>
      </c>
      <c r="K267" s="145">
        <f>SUM(K268:K272)</f>
        <v>179800</v>
      </c>
      <c r="L267" s="145">
        <f>SUM(L268:L272)</f>
        <v>300000</v>
      </c>
      <c r="M267" s="155">
        <f t="shared" si="6"/>
        <v>515800</v>
      </c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102"/>
      <c r="AB267" s="102"/>
      <c r="AC267" s="103"/>
      <c r="AD267" s="4"/>
    </row>
    <row r="268" spans="1:30" ht="111.75" customHeight="1">
      <c r="A268" s="65"/>
      <c r="B268" s="65"/>
      <c r="C268" s="69"/>
      <c r="D268" s="69">
        <v>1</v>
      </c>
      <c r="E268" s="70"/>
      <c r="F268" s="150" t="s">
        <v>244</v>
      </c>
      <c r="G268" s="47"/>
      <c r="H268" s="47"/>
      <c r="I268" s="48"/>
      <c r="J268" s="144">
        <v>24000</v>
      </c>
      <c r="K268" s="151">
        <v>10000</v>
      </c>
      <c r="L268" s="144"/>
      <c r="M268" s="155">
        <f t="shared" si="6"/>
        <v>34000</v>
      </c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102"/>
      <c r="AB268" s="102"/>
      <c r="AC268" s="103"/>
      <c r="AD268" s="4"/>
    </row>
    <row r="269" spans="1:30" ht="111.75" customHeight="1">
      <c r="A269" s="65"/>
      <c r="B269" s="65"/>
      <c r="C269" s="69"/>
      <c r="D269" s="69">
        <v>2</v>
      </c>
      <c r="E269" s="70"/>
      <c r="F269" s="71" t="s">
        <v>245</v>
      </c>
      <c r="G269" s="47"/>
      <c r="H269" s="47"/>
      <c r="I269" s="48"/>
      <c r="J269" s="144"/>
      <c r="K269" s="151"/>
      <c r="L269" s="144"/>
      <c r="M269" s="155">
        <f t="shared" si="6"/>
        <v>0</v>
      </c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102"/>
      <c r="AB269" s="102"/>
      <c r="AC269" s="103"/>
      <c r="AD269" s="4"/>
    </row>
    <row r="270" spans="1:30" ht="111.75" customHeight="1">
      <c r="A270" s="65"/>
      <c r="B270" s="65"/>
      <c r="C270" s="69"/>
      <c r="D270" s="69">
        <v>3</v>
      </c>
      <c r="E270" s="70"/>
      <c r="F270" s="150" t="s">
        <v>246</v>
      </c>
      <c r="G270" s="47"/>
      <c r="H270" s="47"/>
      <c r="I270" s="48"/>
      <c r="J270" s="144"/>
      <c r="K270" s="151">
        <f>25000+94800</f>
        <v>119800</v>
      </c>
      <c r="L270" s="144">
        <v>300000</v>
      </c>
      <c r="M270" s="155">
        <f t="shared" si="6"/>
        <v>419800</v>
      </c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102"/>
      <c r="AB270" s="102"/>
      <c r="AC270" s="103"/>
      <c r="AD270" s="4"/>
    </row>
    <row r="271" spans="1:30" ht="111.75" customHeight="1">
      <c r="A271" s="65"/>
      <c r="B271" s="65"/>
      <c r="C271" s="69"/>
      <c r="D271" s="69">
        <v>4</v>
      </c>
      <c r="E271" s="70"/>
      <c r="F271" s="71" t="s">
        <v>247</v>
      </c>
      <c r="G271" s="47"/>
      <c r="H271" s="47"/>
      <c r="I271" s="48"/>
      <c r="J271" s="144"/>
      <c r="K271" s="151">
        <v>25000</v>
      </c>
      <c r="L271" s="144"/>
      <c r="M271" s="155">
        <f t="shared" si="6"/>
        <v>25000</v>
      </c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102"/>
      <c r="AB271" s="102"/>
      <c r="AC271" s="103"/>
      <c r="AD271" s="4"/>
    </row>
    <row r="272" spans="1:30" ht="111.75" customHeight="1">
      <c r="A272" s="65"/>
      <c r="B272" s="65"/>
      <c r="C272" s="69"/>
      <c r="D272" s="69">
        <v>9</v>
      </c>
      <c r="E272" s="70"/>
      <c r="F272" s="71" t="s">
        <v>248</v>
      </c>
      <c r="G272" s="47"/>
      <c r="H272" s="47"/>
      <c r="I272" s="48"/>
      <c r="J272" s="144">
        <v>12000</v>
      </c>
      <c r="K272" s="151">
        <v>25000</v>
      </c>
      <c r="L272" s="144"/>
      <c r="M272" s="155">
        <f t="shared" si="6"/>
        <v>37000</v>
      </c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102"/>
      <c r="AB272" s="102"/>
      <c r="AC272" s="103"/>
      <c r="AD272" s="4"/>
    </row>
    <row r="273" spans="1:29" s="36" customFormat="1" ht="111.75" customHeight="1">
      <c r="A273" s="65"/>
      <c r="B273" s="65"/>
      <c r="C273" s="69">
        <v>2</v>
      </c>
      <c r="D273" s="69"/>
      <c r="E273" s="82"/>
      <c r="F273" s="71" t="s">
        <v>264</v>
      </c>
      <c r="G273" s="83"/>
      <c r="H273" s="83"/>
      <c r="I273" s="84"/>
      <c r="J273" s="145">
        <f>SUM(J274:J277)</f>
        <v>0</v>
      </c>
      <c r="K273" s="145">
        <f>SUM(K274:K277)</f>
        <v>35000</v>
      </c>
      <c r="L273" s="145">
        <f>SUM(L274:L277)</f>
        <v>0</v>
      </c>
      <c r="M273" s="155">
        <f t="shared" si="6"/>
        <v>35000</v>
      </c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120"/>
      <c r="AB273" s="120"/>
      <c r="AC273" s="129"/>
    </row>
    <row r="274" spans="1:30" ht="111.75" customHeight="1">
      <c r="A274" s="65"/>
      <c r="B274" s="65"/>
      <c r="C274" s="69"/>
      <c r="D274" s="69">
        <v>1</v>
      </c>
      <c r="E274" s="70"/>
      <c r="F274" s="71" t="s">
        <v>265</v>
      </c>
      <c r="G274" s="47"/>
      <c r="H274" s="47"/>
      <c r="I274" s="48"/>
      <c r="J274" s="144"/>
      <c r="K274" s="151">
        <v>35000</v>
      </c>
      <c r="L274" s="144"/>
      <c r="M274" s="155">
        <f t="shared" si="6"/>
        <v>35000</v>
      </c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102"/>
      <c r="AB274" s="102"/>
      <c r="AC274" s="103"/>
      <c r="AD274" s="4"/>
    </row>
    <row r="275" spans="1:30" ht="111.75" customHeight="1">
      <c r="A275" s="65"/>
      <c r="B275" s="65"/>
      <c r="C275" s="69"/>
      <c r="D275" s="69">
        <v>2</v>
      </c>
      <c r="E275" s="70"/>
      <c r="F275" s="71" t="s">
        <v>266</v>
      </c>
      <c r="G275" s="47"/>
      <c r="H275" s="47"/>
      <c r="I275" s="48"/>
      <c r="J275" s="144">
        <v>0</v>
      </c>
      <c r="K275" s="144">
        <v>0</v>
      </c>
      <c r="L275" s="144">
        <v>0</v>
      </c>
      <c r="M275" s="155">
        <f t="shared" si="6"/>
        <v>0</v>
      </c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102"/>
      <c r="AB275" s="102"/>
      <c r="AC275" s="103"/>
      <c r="AD275" s="4"/>
    </row>
    <row r="276" spans="1:30" ht="111.75" customHeight="1">
      <c r="A276" s="65"/>
      <c r="B276" s="65"/>
      <c r="C276" s="69"/>
      <c r="D276" s="69">
        <v>3</v>
      </c>
      <c r="E276" s="70"/>
      <c r="F276" s="71" t="s">
        <v>267</v>
      </c>
      <c r="G276" s="47"/>
      <c r="H276" s="47"/>
      <c r="I276" s="48"/>
      <c r="J276" s="144"/>
      <c r="K276" s="144"/>
      <c r="L276" s="144"/>
      <c r="M276" s="155">
        <f t="shared" si="6"/>
        <v>0</v>
      </c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102"/>
      <c r="AB276" s="102"/>
      <c r="AC276" s="103"/>
      <c r="AD276" s="4"/>
    </row>
    <row r="277" spans="1:30" ht="111.75" customHeight="1">
      <c r="A277" s="65"/>
      <c r="B277" s="65"/>
      <c r="C277" s="69"/>
      <c r="D277" s="69">
        <v>4</v>
      </c>
      <c r="E277" s="70"/>
      <c r="F277" s="71" t="s">
        <v>268</v>
      </c>
      <c r="G277" s="47"/>
      <c r="H277" s="47"/>
      <c r="I277" s="48"/>
      <c r="J277" s="144">
        <v>0</v>
      </c>
      <c r="K277" s="144">
        <v>0</v>
      </c>
      <c r="L277" s="144">
        <v>0</v>
      </c>
      <c r="M277" s="155">
        <f t="shared" si="6"/>
        <v>0</v>
      </c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102"/>
      <c r="AB277" s="102"/>
      <c r="AC277" s="103"/>
      <c r="AD277" s="4"/>
    </row>
    <row r="278" spans="1:29" s="36" customFormat="1" ht="111.75" customHeight="1">
      <c r="A278" s="65"/>
      <c r="B278" s="65"/>
      <c r="C278" s="69">
        <v>3</v>
      </c>
      <c r="D278" s="69"/>
      <c r="E278" s="82"/>
      <c r="F278" s="71" t="s">
        <v>269</v>
      </c>
      <c r="G278" s="83"/>
      <c r="H278" s="83"/>
      <c r="I278" s="84"/>
      <c r="J278" s="145">
        <f>SUM(J279:J282)</f>
        <v>0</v>
      </c>
      <c r="K278" s="145">
        <f>SUM(K279:K282)</f>
        <v>0</v>
      </c>
      <c r="L278" s="145">
        <f>SUM(L279:L282)</f>
        <v>0</v>
      </c>
      <c r="M278" s="155">
        <f t="shared" si="6"/>
        <v>0</v>
      </c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120"/>
      <c r="AB278" s="120"/>
      <c r="AC278" s="129"/>
    </row>
    <row r="279" spans="1:30" ht="111.75" customHeight="1">
      <c r="A279" s="65"/>
      <c r="B279" s="65"/>
      <c r="C279" s="69"/>
      <c r="D279" s="69">
        <v>1</v>
      </c>
      <c r="E279" s="70"/>
      <c r="F279" s="71" t="s">
        <v>270</v>
      </c>
      <c r="G279" s="47"/>
      <c r="H279" s="47"/>
      <c r="I279" s="48"/>
      <c r="J279" s="144"/>
      <c r="K279" s="144"/>
      <c r="L279" s="144"/>
      <c r="M279" s="155">
        <f t="shared" si="6"/>
        <v>0</v>
      </c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102"/>
      <c r="AB279" s="102"/>
      <c r="AC279" s="103"/>
      <c r="AD279" s="4"/>
    </row>
    <row r="280" spans="1:30" ht="111.75" customHeight="1">
      <c r="A280" s="65"/>
      <c r="B280" s="65"/>
      <c r="C280" s="69"/>
      <c r="D280" s="69">
        <v>2</v>
      </c>
      <c r="E280" s="70"/>
      <c r="F280" s="71" t="s">
        <v>271</v>
      </c>
      <c r="G280" s="47"/>
      <c r="H280" s="47"/>
      <c r="I280" s="48"/>
      <c r="J280" s="144"/>
      <c r="K280" s="144"/>
      <c r="L280" s="144"/>
      <c r="M280" s="155">
        <f t="shared" si="6"/>
        <v>0</v>
      </c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102"/>
      <c r="AB280" s="102"/>
      <c r="AC280" s="103"/>
      <c r="AD280" s="4"/>
    </row>
    <row r="281" spans="1:30" ht="111.75" customHeight="1">
      <c r="A281" s="65"/>
      <c r="B281" s="65"/>
      <c r="C281" s="69"/>
      <c r="D281" s="69">
        <v>3</v>
      </c>
      <c r="E281" s="70"/>
      <c r="F281" s="71" t="s">
        <v>272</v>
      </c>
      <c r="G281" s="47"/>
      <c r="H281" s="47"/>
      <c r="I281" s="48"/>
      <c r="J281" s="144"/>
      <c r="K281" s="144"/>
      <c r="L281" s="144"/>
      <c r="M281" s="155">
        <f t="shared" si="6"/>
        <v>0</v>
      </c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102"/>
      <c r="AB281" s="102"/>
      <c r="AC281" s="103"/>
      <c r="AD281" s="4"/>
    </row>
    <row r="282" spans="1:30" ht="111.75" customHeight="1">
      <c r="A282" s="65"/>
      <c r="B282" s="65"/>
      <c r="C282" s="69"/>
      <c r="D282" s="69">
        <v>4</v>
      </c>
      <c r="E282" s="70"/>
      <c r="F282" s="71" t="s">
        <v>273</v>
      </c>
      <c r="G282" s="47"/>
      <c r="H282" s="47"/>
      <c r="I282" s="48"/>
      <c r="J282" s="144"/>
      <c r="K282" s="144"/>
      <c r="L282" s="144"/>
      <c r="M282" s="155">
        <f t="shared" si="6"/>
        <v>0</v>
      </c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102"/>
      <c r="AB282" s="102"/>
      <c r="AC282" s="103"/>
      <c r="AD282" s="4"/>
    </row>
    <row r="283" spans="1:30" ht="111.75" customHeight="1">
      <c r="A283" s="65"/>
      <c r="B283" s="65"/>
      <c r="C283" s="69">
        <v>4</v>
      </c>
      <c r="D283" s="69"/>
      <c r="E283" s="70"/>
      <c r="F283" s="71" t="s">
        <v>274</v>
      </c>
      <c r="G283" s="47"/>
      <c r="H283" s="47"/>
      <c r="I283" s="48"/>
      <c r="J283" s="145">
        <f>SUM(J284:J287)</f>
        <v>0</v>
      </c>
      <c r="K283" s="145">
        <f>SUM(K284:K287)</f>
        <v>0</v>
      </c>
      <c r="L283" s="145">
        <f>SUM(L284:L287)</f>
        <v>0</v>
      </c>
      <c r="M283" s="155">
        <f t="shared" si="6"/>
        <v>0</v>
      </c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102"/>
      <c r="AB283" s="102"/>
      <c r="AC283" s="103"/>
      <c r="AD283" s="4"/>
    </row>
    <row r="284" spans="1:30" ht="111.75" customHeight="1">
      <c r="A284" s="65"/>
      <c r="B284" s="65"/>
      <c r="C284" s="69"/>
      <c r="D284" s="69">
        <v>1</v>
      </c>
      <c r="E284" s="70"/>
      <c r="F284" s="71" t="s">
        <v>275</v>
      </c>
      <c r="G284" s="47"/>
      <c r="H284" s="47"/>
      <c r="I284" s="48"/>
      <c r="J284" s="144"/>
      <c r="K284" s="144"/>
      <c r="L284" s="144"/>
      <c r="M284" s="155">
        <f t="shared" si="6"/>
        <v>0</v>
      </c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102"/>
      <c r="AB284" s="102"/>
      <c r="AC284" s="103"/>
      <c r="AD284" s="4"/>
    </row>
    <row r="285" spans="1:30" ht="111.75" customHeight="1">
      <c r="A285" s="65"/>
      <c r="B285" s="65"/>
      <c r="C285" s="69"/>
      <c r="D285" s="69">
        <v>6</v>
      </c>
      <c r="E285" s="70"/>
      <c r="F285" s="71" t="s">
        <v>276</v>
      </c>
      <c r="G285" s="47"/>
      <c r="H285" s="47"/>
      <c r="I285" s="48"/>
      <c r="J285" s="144">
        <v>0</v>
      </c>
      <c r="K285" s="144">
        <v>0</v>
      </c>
      <c r="L285" s="144">
        <v>0</v>
      </c>
      <c r="M285" s="155">
        <f aca="true" t="shared" si="9" ref="M285:M313">J285+K285+L285</f>
        <v>0</v>
      </c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102"/>
      <c r="AB285" s="102"/>
      <c r="AC285" s="103"/>
      <c r="AD285" s="4"/>
    </row>
    <row r="286" spans="1:30" ht="111.75" customHeight="1">
      <c r="A286" s="65"/>
      <c r="B286" s="65"/>
      <c r="C286" s="69"/>
      <c r="D286" s="69">
        <v>7</v>
      </c>
      <c r="E286" s="70"/>
      <c r="F286" s="71" t="s">
        <v>277</v>
      </c>
      <c r="G286" s="47"/>
      <c r="H286" s="47"/>
      <c r="I286" s="48"/>
      <c r="J286" s="144">
        <v>0</v>
      </c>
      <c r="K286" s="144">
        <v>0</v>
      </c>
      <c r="L286" s="144">
        <v>0</v>
      </c>
      <c r="M286" s="155">
        <f t="shared" si="9"/>
        <v>0</v>
      </c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102"/>
      <c r="AB286" s="102"/>
      <c r="AC286" s="103"/>
      <c r="AD286" s="4"/>
    </row>
    <row r="287" spans="1:30" ht="111.75" customHeight="1">
      <c r="A287" s="65"/>
      <c r="B287" s="65"/>
      <c r="C287" s="69"/>
      <c r="D287" s="69">
        <v>8</v>
      </c>
      <c r="E287" s="70"/>
      <c r="F287" s="71" t="s">
        <v>278</v>
      </c>
      <c r="G287" s="47"/>
      <c r="H287" s="47"/>
      <c r="I287" s="48"/>
      <c r="J287" s="144">
        <v>0</v>
      </c>
      <c r="K287" s="144">
        <v>0</v>
      </c>
      <c r="L287" s="144">
        <v>0</v>
      </c>
      <c r="M287" s="155">
        <f t="shared" si="9"/>
        <v>0</v>
      </c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102"/>
      <c r="AB287" s="102"/>
      <c r="AC287" s="103"/>
      <c r="AD287" s="4"/>
    </row>
    <row r="288" spans="1:29" s="36" customFormat="1" ht="111.75" customHeight="1">
      <c r="A288" s="65"/>
      <c r="B288" s="65"/>
      <c r="C288" s="69">
        <v>5</v>
      </c>
      <c r="D288" s="69"/>
      <c r="E288" s="82"/>
      <c r="F288" s="71" t="s">
        <v>279</v>
      </c>
      <c r="G288" s="83"/>
      <c r="H288" s="83"/>
      <c r="I288" s="84"/>
      <c r="J288" s="145">
        <f>SUM(J289:J296)</f>
        <v>0</v>
      </c>
      <c r="K288" s="145">
        <f>SUM(K289:K296)</f>
        <v>29300</v>
      </c>
      <c r="L288" s="145">
        <f>SUM(L289:L296)</f>
        <v>100000</v>
      </c>
      <c r="M288" s="155">
        <f t="shared" si="9"/>
        <v>129300</v>
      </c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120"/>
      <c r="AB288" s="120"/>
      <c r="AC288" s="129"/>
    </row>
    <row r="289" spans="1:30" ht="111.75" customHeight="1">
      <c r="A289" s="65"/>
      <c r="B289" s="65"/>
      <c r="C289" s="69"/>
      <c r="D289" s="69">
        <v>1</v>
      </c>
      <c r="E289" s="70"/>
      <c r="F289" s="71" t="s">
        <v>280</v>
      </c>
      <c r="G289" s="47"/>
      <c r="H289" s="47"/>
      <c r="I289" s="48"/>
      <c r="J289" s="144"/>
      <c r="K289" s="151">
        <f>5500+15000</f>
        <v>20500</v>
      </c>
      <c r="L289" s="144"/>
      <c r="M289" s="155">
        <f t="shared" si="9"/>
        <v>20500</v>
      </c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102"/>
      <c r="AB289" s="102"/>
      <c r="AC289" s="103"/>
      <c r="AD289" s="4"/>
    </row>
    <row r="290" spans="1:30" ht="111.75" customHeight="1">
      <c r="A290" s="65"/>
      <c r="B290" s="65"/>
      <c r="C290" s="69"/>
      <c r="D290" s="69">
        <v>2</v>
      </c>
      <c r="E290" s="70"/>
      <c r="F290" s="71" t="s">
        <v>281</v>
      </c>
      <c r="G290" s="47"/>
      <c r="H290" s="47"/>
      <c r="I290" s="48"/>
      <c r="J290" s="144"/>
      <c r="K290" s="151"/>
      <c r="L290" s="144"/>
      <c r="M290" s="155">
        <f t="shared" si="9"/>
        <v>0</v>
      </c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102"/>
      <c r="AB290" s="102"/>
      <c r="AC290" s="103"/>
      <c r="AD290" s="4"/>
    </row>
    <row r="291" spans="1:30" ht="111.75" customHeight="1">
      <c r="A291" s="65"/>
      <c r="B291" s="65"/>
      <c r="C291" s="69"/>
      <c r="D291" s="69">
        <v>3</v>
      </c>
      <c r="E291" s="70"/>
      <c r="F291" s="71" t="s">
        <v>282</v>
      </c>
      <c r="G291" s="47"/>
      <c r="H291" s="47"/>
      <c r="I291" s="48"/>
      <c r="J291" s="144"/>
      <c r="K291" s="151"/>
      <c r="L291" s="144"/>
      <c r="M291" s="155">
        <f t="shared" si="9"/>
        <v>0</v>
      </c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102"/>
      <c r="AB291" s="102"/>
      <c r="AC291" s="103"/>
      <c r="AD291" s="4"/>
    </row>
    <row r="292" spans="1:30" ht="111.75" customHeight="1">
      <c r="A292" s="65"/>
      <c r="B292" s="65"/>
      <c r="C292" s="69"/>
      <c r="D292" s="69">
        <v>4</v>
      </c>
      <c r="E292" s="70"/>
      <c r="F292" s="71" t="s">
        <v>283</v>
      </c>
      <c r="G292" s="47"/>
      <c r="H292" s="47"/>
      <c r="I292" s="48"/>
      <c r="J292" s="144"/>
      <c r="K292" s="151"/>
      <c r="L292" s="144">
        <v>100000</v>
      </c>
      <c r="M292" s="155">
        <f t="shared" si="9"/>
        <v>100000</v>
      </c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102"/>
      <c r="AB292" s="102"/>
      <c r="AC292" s="103"/>
      <c r="AD292" s="4"/>
    </row>
    <row r="293" spans="1:30" ht="111.75" customHeight="1">
      <c r="A293" s="65"/>
      <c r="B293" s="65"/>
      <c r="C293" s="69"/>
      <c r="D293" s="69">
        <v>5</v>
      </c>
      <c r="E293" s="70"/>
      <c r="F293" s="71" t="s">
        <v>284</v>
      </c>
      <c r="G293" s="47"/>
      <c r="H293" s="47"/>
      <c r="I293" s="48"/>
      <c r="J293" s="144"/>
      <c r="K293" s="151"/>
      <c r="L293" s="144"/>
      <c r="M293" s="155">
        <f t="shared" si="9"/>
        <v>0</v>
      </c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102"/>
      <c r="AB293" s="102"/>
      <c r="AC293" s="103"/>
      <c r="AD293" s="4"/>
    </row>
    <row r="294" spans="1:30" ht="111.75" customHeight="1">
      <c r="A294" s="65"/>
      <c r="B294" s="65"/>
      <c r="C294" s="69"/>
      <c r="D294" s="69">
        <v>6</v>
      </c>
      <c r="E294" s="70"/>
      <c r="F294" s="71" t="s">
        <v>285</v>
      </c>
      <c r="G294" s="47"/>
      <c r="H294" s="47"/>
      <c r="I294" s="48"/>
      <c r="J294" s="144"/>
      <c r="K294" s="151"/>
      <c r="L294" s="144"/>
      <c r="M294" s="155">
        <f t="shared" si="9"/>
        <v>0</v>
      </c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102"/>
      <c r="AB294" s="102"/>
      <c r="AC294" s="103"/>
      <c r="AD294" s="4"/>
    </row>
    <row r="295" spans="1:30" ht="111.75" customHeight="1">
      <c r="A295" s="65"/>
      <c r="B295" s="65"/>
      <c r="C295" s="69"/>
      <c r="D295" s="69">
        <v>7</v>
      </c>
      <c r="E295" s="70"/>
      <c r="F295" s="71" t="s">
        <v>286</v>
      </c>
      <c r="G295" s="47"/>
      <c r="H295" s="47"/>
      <c r="I295" s="48"/>
      <c r="J295" s="144"/>
      <c r="K295" s="151">
        <v>8800</v>
      </c>
      <c r="L295" s="144"/>
      <c r="M295" s="155">
        <f t="shared" si="9"/>
        <v>8800</v>
      </c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102"/>
      <c r="AB295" s="102"/>
      <c r="AC295" s="103"/>
      <c r="AD295" s="4"/>
    </row>
    <row r="296" spans="1:30" ht="111.75" customHeight="1">
      <c r="A296" s="65"/>
      <c r="B296" s="65"/>
      <c r="C296" s="69"/>
      <c r="D296" s="69">
        <v>8</v>
      </c>
      <c r="E296" s="70"/>
      <c r="F296" s="71" t="s">
        <v>278</v>
      </c>
      <c r="G296" s="47"/>
      <c r="H296" s="47"/>
      <c r="I296" s="48"/>
      <c r="J296" s="144"/>
      <c r="K296" s="144"/>
      <c r="L296" s="144"/>
      <c r="M296" s="155">
        <f t="shared" si="9"/>
        <v>0</v>
      </c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102"/>
      <c r="AB296" s="102"/>
      <c r="AC296" s="103"/>
      <c r="AD296" s="4"/>
    </row>
    <row r="297" spans="1:29" s="36" customFormat="1" ht="111.75" customHeight="1">
      <c r="A297" s="65"/>
      <c r="B297" s="65"/>
      <c r="C297" s="69">
        <v>7</v>
      </c>
      <c r="D297" s="69"/>
      <c r="E297" s="82"/>
      <c r="F297" s="71" t="s">
        <v>287</v>
      </c>
      <c r="G297" s="83"/>
      <c r="H297" s="83"/>
      <c r="I297" s="84"/>
      <c r="J297" s="145">
        <f>SUM(J298:J306)</f>
        <v>0</v>
      </c>
      <c r="K297" s="145">
        <f>SUM(K298:K306)</f>
        <v>0</v>
      </c>
      <c r="L297" s="145">
        <f>SUM(L298:L306)</f>
        <v>0</v>
      </c>
      <c r="M297" s="155">
        <f t="shared" si="9"/>
        <v>0</v>
      </c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120"/>
      <c r="AB297" s="120"/>
      <c r="AC297" s="129"/>
    </row>
    <row r="298" spans="1:30" ht="111.75" customHeight="1">
      <c r="A298" s="65"/>
      <c r="B298" s="65"/>
      <c r="C298" s="69"/>
      <c r="D298" s="69">
        <v>1</v>
      </c>
      <c r="E298" s="70"/>
      <c r="F298" s="71" t="s">
        <v>288</v>
      </c>
      <c r="G298" s="47"/>
      <c r="H298" s="47"/>
      <c r="I298" s="48"/>
      <c r="J298" s="144"/>
      <c r="K298" s="144"/>
      <c r="L298" s="144"/>
      <c r="M298" s="155">
        <f t="shared" si="9"/>
        <v>0</v>
      </c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102"/>
      <c r="AB298" s="102"/>
      <c r="AC298" s="103"/>
      <c r="AD298" s="4"/>
    </row>
    <row r="299" spans="1:30" ht="111.75" customHeight="1">
      <c r="A299" s="65"/>
      <c r="B299" s="65"/>
      <c r="C299" s="69"/>
      <c r="D299" s="69">
        <v>2</v>
      </c>
      <c r="E299" s="70"/>
      <c r="F299" s="71" t="s">
        <v>289</v>
      </c>
      <c r="G299" s="47"/>
      <c r="H299" s="47"/>
      <c r="I299" s="48"/>
      <c r="J299" s="144"/>
      <c r="K299" s="144"/>
      <c r="L299" s="144"/>
      <c r="M299" s="155">
        <f t="shared" si="9"/>
        <v>0</v>
      </c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102"/>
      <c r="AB299" s="102"/>
      <c r="AC299" s="103"/>
      <c r="AD299" s="4"/>
    </row>
    <row r="300" spans="1:30" ht="111.75" customHeight="1">
      <c r="A300" s="65"/>
      <c r="B300" s="65"/>
      <c r="C300" s="69"/>
      <c r="D300" s="69">
        <v>3</v>
      </c>
      <c r="E300" s="70"/>
      <c r="F300" s="71" t="s">
        <v>290</v>
      </c>
      <c r="G300" s="47"/>
      <c r="H300" s="47"/>
      <c r="I300" s="48"/>
      <c r="J300" s="144"/>
      <c r="K300" s="144"/>
      <c r="L300" s="144"/>
      <c r="M300" s="155">
        <f t="shared" si="9"/>
        <v>0</v>
      </c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102"/>
      <c r="AB300" s="102"/>
      <c r="AC300" s="103"/>
      <c r="AD300" s="4"/>
    </row>
    <row r="301" spans="1:30" ht="111.75" customHeight="1">
      <c r="A301" s="65"/>
      <c r="B301" s="65"/>
      <c r="C301" s="69"/>
      <c r="D301" s="69">
        <v>4</v>
      </c>
      <c r="E301" s="70"/>
      <c r="F301" s="71" t="s">
        <v>291</v>
      </c>
      <c r="G301" s="47"/>
      <c r="H301" s="47"/>
      <c r="I301" s="48"/>
      <c r="J301" s="144"/>
      <c r="K301" s="144"/>
      <c r="L301" s="144"/>
      <c r="M301" s="155">
        <f t="shared" si="9"/>
        <v>0</v>
      </c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102"/>
      <c r="AB301" s="102"/>
      <c r="AC301" s="103"/>
      <c r="AD301" s="4"/>
    </row>
    <row r="302" spans="1:30" ht="111.75" customHeight="1">
      <c r="A302" s="65"/>
      <c r="B302" s="65"/>
      <c r="C302" s="69"/>
      <c r="D302" s="69">
        <v>5</v>
      </c>
      <c r="E302" s="70"/>
      <c r="F302" s="71" t="s">
        <v>292</v>
      </c>
      <c r="G302" s="47"/>
      <c r="H302" s="47"/>
      <c r="I302" s="48"/>
      <c r="J302" s="144"/>
      <c r="K302" s="144"/>
      <c r="L302" s="144"/>
      <c r="M302" s="155">
        <f t="shared" si="9"/>
        <v>0</v>
      </c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102"/>
      <c r="AB302" s="102"/>
      <c r="AC302" s="103"/>
      <c r="AD302" s="4"/>
    </row>
    <row r="303" spans="1:30" ht="111.75" customHeight="1">
      <c r="A303" s="65"/>
      <c r="B303" s="65"/>
      <c r="C303" s="69"/>
      <c r="D303" s="69">
        <v>6</v>
      </c>
      <c r="E303" s="70"/>
      <c r="F303" s="71" t="s">
        <v>294</v>
      </c>
      <c r="G303" s="47"/>
      <c r="H303" s="47"/>
      <c r="I303" s="48"/>
      <c r="J303" s="144"/>
      <c r="K303" s="144"/>
      <c r="L303" s="144"/>
      <c r="M303" s="155">
        <f t="shared" si="9"/>
        <v>0</v>
      </c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102"/>
      <c r="AB303" s="102"/>
      <c r="AC303" s="103"/>
      <c r="AD303" s="4"/>
    </row>
    <row r="304" spans="1:30" ht="111.75" customHeight="1">
      <c r="A304" s="65"/>
      <c r="B304" s="65"/>
      <c r="C304" s="69"/>
      <c r="D304" s="69">
        <v>7</v>
      </c>
      <c r="E304" s="70"/>
      <c r="F304" s="71" t="s">
        <v>295</v>
      </c>
      <c r="G304" s="47"/>
      <c r="H304" s="47"/>
      <c r="I304" s="48"/>
      <c r="J304" s="144"/>
      <c r="K304" s="144"/>
      <c r="L304" s="144"/>
      <c r="M304" s="155">
        <f t="shared" si="9"/>
        <v>0</v>
      </c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102"/>
      <c r="AB304" s="102"/>
      <c r="AC304" s="103"/>
      <c r="AD304" s="4"/>
    </row>
    <row r="305" spans="1:30" ht="111.75" customHeight="1">
      <c r="A305" s="65"/>
      <c r="B305" s="65"/>
      <c r="C305" s="69"/>
      <c r="D305" s="69">
        <v>8</v>
      </c>
      <c r="E305" s="70"/>
      <c r="F305" s="71" t="s">
        <v>296</v>
      </c>
      <c r="G305" s="47"/>
      <c r="H305" s="47"/>
      <c r="I305" s="48"/>
      <c r="J305" s="144"/>
      <c r="K305" s="144"/>
      <c r="L305" s="144"/>
      <c r="M305" s="155">
        <f t="shared" si="9"/>
        <v>0</v>
      </c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102"/>
      <c r="AB305" s="102"/>
      <c r="AC305" s="103"/>
      <c r="AD305" s="4"/>
    </row>
    <row r="306" spans="1:30" ht="111.75" customHeight="1">
      <c r="A306" s="65"/>
      <c r="B306" s="65"/>
      <c r="C306" s="69"/>
      <c r="D306" s="69">
        <v>9</v>
      </c>
      <c r="E306" s="70"/>
      <c r="F306" s="71" t="s">
        <v>293</v>
      </c>
      <c r="G306" s="47"/>
      <c r="H306" s="47"/>
      <c r="I306" s="48"/>
      <c r="J306" s="144"/>
      <c r="K306" s="144"/>
      <c r="L306" s="144"/>
      <c r="M306" s="155">
        <f t="shared" si="9"/>
        <v>0</v>
      </c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102"/>
      <c r="AB306" s="102"/>
      <c r="AC306" s="103"/>
      <c r="AD306" s="4"/>
    </row>
    <row r="307" spans="1:29" s="36" customFormat="1" ht="111.75" customHeight="1">
      <c r="A307" s="65"/>
      <c r="B307" s="65"/>
      <c r="C307" s="69">
        <v>8</v>
      </c>
      <c r="D307" s="69"/>
      <c r="E307" s="82"/>
      <c r="F307" s="71" t="s">
        <v>297</v>
      </c>
      <c r="G307" s="83"/>
      <c r="H307" s="83"/>
      <c r="I307" s="84"/>
      <c r="J307" s="145">
        <f>J308+J309+J312</f>
        <v>0</v>
      </c>
      <c r="K307" s="145">
        <f>K308+K309+K312</f>
        <v>25500</v>
      </c>
      <c r="L307" s="145">
        <f>L308+L309+L312</f>
        <v>0</v>
      </c>
      <c r="M307" s="155">
        <f t="shared" si="9"/>
        <v>25500</v>
      </c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120"/>
      <c r="AB307" s="120"/>
      <c r="AC307" s="129"/>
    </row>
    <row r="308" spans="1:30" ht="111.75" customHeight="1">
      <c r="A308" s="65"/>
      <c r="B308" s="65"/>
      <c r="C308" s="69"/>
      <c r="D308" s="69">
        <v>1</v>
      </c>
      <c r="E308" s="70"/>
      <c r="F308" s="71" t="s">
        <v>298</v>
      </c>
      <c r="G308" s="47"/>
      <c r="H308" s="47"/>
      <c r="I308" s="48"/>
      <c r="J308" s="144"/>
      <c r="K308" s="144"/>
      <c r="L308" s="144"/>
      <c r="M308" s="155">
        <f t="shared" si="9"/>
        <v>0</v>
      </c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102"/>
      <c r="AB308" s="102"/>
      <c r="AC308" s="103"/>
      <c r="AD308" s="4"/>
    </row>
    <row r="309" spans="1:29" s="36" customFormat="1" ht="111.75" customHeight="1">
      <c r="A309" s="65"/>
      <c r="B309" s="65"/>
      <c r="C309" s="69"/>
      <c r="D309" s="69">
        <v>3</v>
      </c>
      <c r="E309" s="82"/>
      <c r="F309" s="71" t="s">
        <v>300</v>
      </c>
      <c r="G309" s="83"/>
      <c r="H309" s="83"/>
      <c r="I309" s="84"/>
      <c r="J309" s="145">
        <f>SUM(J310:J311)</f>
        <v>0</v>
      </c>
      <c r="K309" s="145">
        <f>SUM(K310:K311)</f>
        <v>25500</v>
      </c>
      <c r="L309" s="145">
        <f>SUM(L310:L311)</f>
        <v>0</v>
      </c>
      <c r="M309" s="155">
        <f t="shared" si="9"/>
        <v>25500</v>
      </c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120"/>
      <c r="AB309" s="120"/>
      <c r="AC309" s="129"/>
    </row>
    <row r="310" spans="1:30" ht="111.75" customHeight="1">
      <c r="A310" s="65"/>
      <c r="B310" s="65"/>
      <c r="C310" s="69"/>
      <c r="D310" s="69"/>
      <c r="E310" s="70">
        <v>1</v>
      </c>
      <c r="F310" s="86" t="s">
        <v>299</v>
      </c>
      <c r="G310" s="47"/>
      <c r="H310" s="47"/>
      <c r="I310" s="48"/>
      <c r="J310" s="144"/>
      <c r="K310" s="144">
        <v>25500</v>
      </c>
      <c r="L310" s="144"/>
      <c r="M310" s="155">
        <f t="shared" si="9"/>
        <v>25500</v>
      </c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102"/>
      <c r="AB310" s="102"/>
      <c r="AC310" s="103"/>
      <c r="AD310" s="4"/>
    </row>
    <row r="311" spans="1:30" ht="111.75" customHeight="1">
      <c r="A311" s="65"/>
      <c r="B311" s="65"/>
      <c r="C311" s="69"/>
      <c r="D311" s="69"/>
      <c r="E311" s="70">
        <v>2</v>
      </c>
      <c r="F311" s="86" t="s">
        <v>301</v>
      </c>
      <c r="G311" s="47"/>
      <c r="H311" s="47"/>
      <c r="I311" s="48"/>
      <c r="J311" s="144"/>
      <c r="K311" s="144"/>
      <c r="L311" s="144"/>
      <c r="M311" s="155">
        <f t="shared" si="9"/>
        <v>0</v>
      </c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102"/>
      <c r="AB311" s="102"/>
      <c r="AC311" s="103"/>
      <c r="AD311" s="4"/>
    </row>
    <row r="312" spans="1:30" ht="111.75" customHeight="1">
      <c r="A312" s="65"/>
      <c r="B312" s="65"/>
      <c r="C312" s="69"/>
      <c r="D312" s="69">
        <v>5</v>
      </c>
      <c r="E312" s="70"/>
      <c r="F312" s="71" t="s">
        <v>302</v>
      </c>
      <c r="G312" s="47"/>
      <c r="H312" s="47"/>
      <c r="I312" s="48"/>
      <c r="J312" s="144"/>
      <c r="K312" s="144"/>
      <c r="L312" s="144"/>
      <c r="M312" s="155">
        <f t="shared" si="9"/>
        <v>0</v>
      </c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102"/>
      <c r="AB312" s="102"/>
      <c r="AC312" s="103"/>
      <c r="AD312" s="4"/>
    </row>
    <row r="313" spans="1:30" ht="111.75" customHeight="1" thickBot="1">
      <c r="A313" s="72"/>
      <c r="B313" s="72"/>
      <c r="C313" s="80"/>
      <c r="D313" s="73"/>
      <c r="E313" s="74"/>
      <c r="F313" s="16" t="s">
        <v>56</v>
      </c>
      <c r="G313" s="24"/>
      <c r="H313" s="24"/>
      <c r="I313" s="30"/>
      <c r="J313" s="140">
        <f>J31+J79+J163+J247+J262+J266</f>
        <v>45571856.46176</v>
      </c>
      <c r="K313" s="140">
        <f>K31+K79+K163+K247+K262+K266</f>
        <v>95282368.72580001</v>
      </c>
      <c r="L313" s="140">
        <f>L31+L79+L163+L247+L262+L266</f>
        <v>71964145.81244001</v>
      </c>
      <c r="M313" s="155">
        <f t="shared" si="9"/>
        <v>212818371.00000003</v>
      </c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102"/>
      <c r="AB313" s="102"/>
      <c r="AC313" s="103"/>
      <c r="AD313" s="4"/>
    </row>
    <row r="314" spans="1:29" ht="111.75" customHeight="1">
      <c r="A314" s="37"/>
      <c r="B314" s="37"/>
      <c r="C314" s="43"/>
      <c r="D314" s="38"/>
      <c r="E314" s="8"/>
      <c r="F314" s="8"/>
      <c r="G314" s="7"/>
      <c r="H314" s="7"/>
      <c r="I314" s="8"/>
      <c r="J314" s="146"/>
      <c r="K314" s="146"/>
      <c r="L314" s="146"/>
      <c r="M314" s="154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31"/>
      <c r="AA314" s="102"/>
      <c r="AB314" s="102"/>
      <c r="AC314" s="103"/>
    </row>
    <row r="315" spans="1:29" ht="111.75" customHeight="1">
      <c r="A315" s="37"/>
      <c r="B315" s="37"/>
      <c r="C315" s="43"/>
      <c r="D315" s="38"/>
      <c r="E315" s="8"/>
      <c r="F315" s="8"/>
      <c r="G315" s="33"/>
      <c r="H315" s="33"/>
      <c r="I315" s="8"/>
      <c r="J315" s="146"/>
      <c r="K315" s="146"/>
      <c r="L315" s="146"/>
      <c r="M315" s="154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31"/>
      <c r="AA315" s="102"/>
      <c r="AB315" s="102"/>
      <c r="AC315" s="103"/>
    </row>
    <row r="316" spans="1:29" ht="111.75" customHeight="1">
      <c r="A316" s="36"/>
      <c r="B316" s="36"/>
      <c r="C316" s="1"/>
      <c r="D316" s="36"/>
      <c r="F316" s="3" t="s">
        <v>2</v>
      </c>
      <c r="G316" s="3"/>
      <c r="H316" s="3"/>
      <c r="AA316" s="102"/>
      <c r="AB316" s="102"/>
      <c r="AC316" s="103"/>
    </row>
    <row r="317" spans="1:29" ht="111.75" customHeight="1">
      <c r="A317" s="36"/>
      <c r="B317" s="36"/>
      <c r="C317" s="1"/>
      <c r="D317" s="36"/>
      <c r="AA317" s="102"/>
      <c r="AB317" s="102"/>
      <c r="AC317" s="103"/>
    </row>
    <row r="318" spans="1:29" ht="111.75" customHeight="1">
      <c r="A318" s="36"/>
      <c r="B318" s="36"/>
      <c r="C318" s="1"/>
      <c r="D318" s="36"/>
      <c r="F318" s="39"/>
      <c r="AA318" s="102"/>
      <c r="AB318" s="102"/>
      <c r="AC318" s="103"/>
    </row>
    <row r="319" spans="1:29" ht="111.75" customHeight="1">
      <c r="A319" s="36"/>
      <c r="B319" s="36"/>
      <c r="C319" s="1"/>
      <c r="D319" s="36"/>
      <c r="F319" s="39"/>
      <c r="AA319" s="102"/>
      <c r="AB319" s="102"/>
      <c r="AC319" s="103"/>
    </row>
    <row r="320" spans="1:29" ht="111.75" customHeight="1">
      <c r="A320" s="36"/>
      <c r="B320" s="36"/>
      <c r="C320" s="1"/>
      <c r="D320" s="36"/>
      <c r="F320" s="39"/>
      <c r="AA320" s="102"/>
      <c r="AB320" s="102"/>
      <c r="AC320" s="103"/>
    </row>
    <row r="321" spans="1:29" ht="111.75" customHeight="1">
      <c r="A321" s="36"/>
      <c r="B321" s="36"/>
      <c r="C321" s="1"/>
      <c r="D321" s="36"/>
      <c r="F321" s="40"/>
      <c r="AA321" s="102"/>
      <c r="AB321" s="102"/>
      <c r="AC321" s="103"/>
    </row>
    <row r="322" spans="1:29" ht="111.75" customHeight="1">
      <c r="A322" s="36"/>
      <c r="B322" s="36"/>
      <c r="C322" s="1"/>
      <c r="D322" s="36"/>
      <c r="AA322" s="102"/>
      <c r="AB322" s="102"/>
      <c r="AC322" s="103"/>
    </row>
    <row r="323" spans="1:29" ht="111.75" customHeight="1">
      <c r="A323" s="36"/>
      <c r="B323" s="36"/>
      <c r="C323" s="1"/>
      <c r="D323" s="36"/>
      <c r="AA323" s="102"/>
      <c r="AB323" s="102"/>
      <c r="AC323" s="103"/>
    </row>
    <row r="324" spans="1:29" ht="111.75" customHeight="1">
      <c r="A324" s="36"/>
      <c r="B324" s="36"/>
      <c r="C324" s="1"/>
      <c r="D324" s="36"/>
      <c r="AA324" s="102"/>
      <c r="AB324" s="102"/>
      <c r="AC324" s="103"/>
    </row>
    <row r="325" spans="27:29" ht="111.75" customHeight="1">
      <c r="AA325" s="102"/>
      <c r="AB325" s="102"/>
      <c r="AC325" s="103"/>
    </row>
    <row r="326" spans="27:29" ht="111.75" customHeight="1">
      <c r="AA326" s="102"/>
      <c r="AB326" s="102"/>
      <c r="AC326" s="103"/>
    </row>
    <row r="327" spans="27:29" ht="111.75" customHeight="1">
      <c r="AA327" s="102"/>
      <c r="AB327" s="102"/>
      <c r="AC327" s="103"/>
    </row>
    <row r="328" spans="27:29" ht="111.75" customHeight="1">
      <c r="AA328" s="102"/>
      <c r="AB328" s="102"/>
      <c r="AC328" s="103"/>
    </row>
    <row r="329" spans="27:29" ht="111.75" customHeight="1">
      <c r="AA329" s="102"/>
      <c r="AB329" s="102"/>
      <c r="AC329" s="103"/>
    </row>
    <row r="330" spans="27:29" ht="111.75" customHeight="1">
      <c r="AA330" s="102"/>
      <c r="AB330" s="102"/>
      <c r="AC330" s="103"/>
    </row>
    <row r="331" spans="27:29" ht="111.75" customHeight="1">
      <c r="AA331" s="102"/>
      <c r="AB331" s="102"/>
      <c r="AC331" s="103"/>
    </row>
    <row r="332" spans="27:29" ht="111.75" customHeight="1">
      <c r="AA332" s="102"/>
      <c r="AB332" s="102"/>
      <c r="AC332" s="103"/>
    </row>
    <row r="333" spans="27:29" ht="111.75" customHeight="1">
      <c r="AA333" s="102"/>
      <c r="AB333" s="102"/>
      <c r="AC333" s="103"/>
    </row>
    <row r="334" spans="27:29" ht="111.75" customHeight="1">
      <c r="AA334" s="102"/>
      <c r="AB334" s="102"/>
      <c r="AC334" s="103"/>
    </row>
    <row r="335" spans="27:29" ht="111.75" customHeight="1">
      <c r="AA335" s="102"/>
      <c r="AB335" s="102"/>
      <c r="AC335" s="103"/>
    </row>
    <row r="336" spans="27:29" ht="111.75" customHeight="1">
      <c r="AA336" s="102"/>
      <c r="AB336" s="102"/>
      <c r="AC336" s="103"/>
    </row>
    <row r="337" spans="27:29" ht="111.75" customHeight="1">
      <c r="AA337" s="102"/>
      <c r="AB337" s="102"/>
      <c r="AC337" s="103"/>
    </row>
    <row r="338" spans="27:29" ht="111.75" customHeight="1">
      <c r="AA338" s="102"/>
      <c r="AB338" s="102"/>
      <c r="AC338" s="103"/>
    </row>
    <row r="339" spans="27:29" ht="111.75" customHeight="1">
      <c r="AA339" s="102"/>
      <c r="AB339" s="102"/>
      <c r="AC339" s="103"/>
    </row>
    <row r="340" spans="27:29" ht="111.75" customHeight="1">
      <c r="AA340" s="102"/>
      <c r="AB340" s="102"/>
      <c r="AC340" s="103"/>
    </row>
    <row r="341" spans="27:29" ht="111.75" customHeight="1">
      <c r="AA341" s="102"/>
      <c r="AB341" s="102"/>
      <c r="AC341" s="103"/>
    </row>
    <row r="342" spans="27:29" ht="111.75" customHeight="1">
      <c r="AA342" s="102"/>
      <c r="AB342" s="102"/>
      <c r="AC342" s="103"/>
    </row>
    <row r="343" spans="27:29" ht="111.75" customHeight="1">
      <c r="AA343" s="102"/>
      <c r="AB343" s="102"/>
      <c r="AC343" s="103"/>
    </row>
    <row r="344" spans="27:29" ht="111.75" customHeight="1">
      <c r="AA344" s="102"/>
      <c r="AB344" s="102"/>
      <c r="AC344" s="103"/>
    </row>
    <row r="345" spans="27:29" ht="111.75" customHeight="1">
      <c r="AA345" s="102"/>
      <c r="AB345" s="102"/>
      <c r="AC345" s="103"/>
    </row>
    <row r="346" spans="27:29" ht="111.75" customHeight="1">
      <c r="AA346" s="102"/>
      <c r="AB346" s="102"/>
      <c r="AC346" s="103"/>
    </row>
    <row r="347" spans="27:29" ht="111.75" customHeight="1">
      <c r="AA347" s="102"/>
      <c r="AB347" s="102"/>
      <c r="AC347" s="103"/>
    </row>
    <row r="348" spans="27:29" ht="111.75" customHeight="1">
      <c r="AA348" s="102"/>
      <c r="AB348" s="102"/>
      <c r="AC348" s="103"/>
    </row>
    <row r="349" spans="27:29" ht="111.75" customHeight="1">
      <c r="AA349" s="102"/>
      <c r="AB349" s="102"/>
      <c r="AC349" s="103"/>
    </row>
    <row r="350" spans="27:29" ht="111.75" customHeight="1">
      <c r="AA350" s="102"/>
      <c r="AB350" s="102"/>
      <c r="AC350" s="103"/>
    </row>
    <row r="351" spans="27:29" ht="111.75" customHeight="1">
      <c r="AA351" s="102"/>
      <c r="AB351" s="102"/>
      <c r="AC351" s="103"/>
    </row>
    <row r="352" spans="27:29" ht="111.75" customHeight="1">
      <c r="AA352" s="102"/>
      <c r="AB352" s="102"/>
      <c r="AC352" s="103"/>
    </row>
    <row r="353" spans="27:29" ht="111.75" customHeight="1">
      <c r="AA353" s="102"/>
      <c r="AB353" s="102"/>
      <c r="AC353" s="103"/>
    </row>
    <row r="354" spans="27:29" ht="111.75" customHeight="1">
      <c r="AA354" s="102"/>
      <c r="AB354" s="102"/>
      <c r="AC354" s="103"/>
    </row>
    <row r="355" spans="27:29" ht="111.75" customHeight="1">
      <c r="AA355" s="102"/>
      <c r="AB355" s="102"/>
      <c r="AC355" s="103"/>
    </row>
    <row r="356" spans="27:29" ht="111.75" customHeight="1">
      <c r="AA356" s="102"/>
      <c r="AB356" s="102"/>
      <c r="AC356" s="103"/>
    </row>
    <row r="357" spans="27:29" ht="111.75" customHeight="1">
      <c r="AA357" s="102"/>
      <c r="AB357" s="102"/>
      <c r="AC357" s="103"/>
    </row>
    <row r="358" spans="27:29" ht="111.75" customHeight="1">
      <c r="AA358" s="102"/>
      <c r="AB358" s="102"/>
      <c r="AC358" s="103"/>
    </row>
    <row r="359" spans="27:29" ht="111.75" customHeight="1">
      <c r="AA359" s="102"/>
      <c r="AB359" s="102"/>
      <c r="AC359" s="103"/>
    </row>
    <row r="360" spans="27:29" ht="111.75" customHeight="1">
      <c r="AA360" s="102"/>
      <c r="AB360" s="102"/>
      <c r="AC360" s="103"/>
    </row>
    <row r="361" spans="27:29" ht="111.75" customHeight="1">
      <c r="AA361" s="102"/>
      <c r="AB361" s="102"/>
      <c r="AC361" s="103"/>
    </row>
    <row r="362" spans="27:29" ht="111.75" customHeight="1">
      <c r="AA362" s="102"/>
      <c r="AB362" s="102"/>
      <c r="AC362" s="103"/>
    </row>
    <row r="363" spans="27:29" ht="111.75" customHeight="1">
      <c r="AA363" s="102"/>
      <c r="AB363" s="102"/>
      <c r="AC363" s="103"/>
    </row>
    <row r="364" spans="27:29" ht="111.75" customHeight="1">
      <c r="AA364" s="102"/>
      <c r="AB364" s="102"/>
      <c r="AC364" s="103"/>
    </row>
    <row r="365" spans="27:29" ht="111.75" customHeight="1">
      <c r="AA365" s="102"/>
      <c r="AB365" s="102"/>
      <c r="AC365" s="103"/>
    </row>
    <row r="366" spans="27:29" ht="111.75" customHeight="1">
      <c r="AA366" s="102"/>
      <c r="AB366" s="102"/>
      <c r="AC366" s="103"/>
    </row>
    <row r="367" spans="27:29" ht="111.75" customHeight="1">
      <c r="AA367" s="102"/>
      <c r="AB367" s="102"/>
      <c r="AC367" s="103"/>
    </row>
    <row r="368" spans="27:29" ht="111.75" customHeight="1">
      <c r="AA368" s="102"/>
      <c r="AB368" s="102"/>
      <c r="AC368" s="103"/>
    </row>
    <row r="369" spans="27:29" ht="111.75" customHeight="1">
      <c r="AA369" s="102"/>
      <c r="AB369" s="102"/>
      <c r="AC369" s="103"/>
    </row>
    <row r="370" spans="27:29" ht="111.75" customHeight="1">
      <c r="AA370" s="102"/>
      <c r="AB370" s="102"/>
      <c r="AC370" s="103"/>
    </row>
    <row r="371" spans="27:29" ht="111.75" customHeight="1">
      <c r="AA371" s="102"/>
      <c r="AB371" s="102"/>
      <c r="AC371" s="103"/>
    </row>
    <row r="372" spans="27:29" ht="111.75" customHeight="1">
      <c r="AA372" s="102"/>
      <c r="AB372" s="102"/>
      <c r="AC372" s="103"/>
    </row>
    <row r="373" spans="27:29" ht="111.75" customHeight="1">
      <c r="AA373" s="102"/>
      <c r="AB373" s="102"/>
      <c r="AC373" s="103"/>
    </row>
    <row r="374" spans="27:29" ht="111.75" customHeight="1">
      <c r="AA374" s="102"/>
      <c r="AB374" s="102"/>
      <c r="AC374" s="103"/>
    </row>
    <row r="375" spans="27:29" ht="111.75" customHeight="1">
      <c r="AA375" s="102"/>
      <c r="AB375" s="102"/>
      <c r="AC375" s="103"/>
    </row>
    <row r="376" spans="27:29" ht="111.75" customHeight="1">
      <c r="AA376" s="102"/>
      <c r="AB376" s="102"/>
      <c r="AC376" s="103"/>
    </row>
    <row r="377" spans="27:29" ht="111.75" customHeight="1">
      <c r="AA377" s="102"/>
      <c r="AB377" s="102"/>
      <c r="AC377" s="103"/>
    </row>
    <row r="378" spans="27:29" ht="111.75" customHeight="1">
      <c r="AA378" s="102"/>
      <c r="AB378" s="102"/>
      <c r="AC378" s="103"/>
    </row>
    <row r="379" spans="27:29" ht="111.75" customHeight="1">
      <c r="AA379" s="102"/>
      <c r="AB379" s="102"/>
      <c r="AC379" s="103"/>
    </row>
    <row r="380" spans="27:29" ht="111.75" customHeight="1">
      <c r="AA380" s="102"/>
      <c r="AB380" s="102"/>
      <c r="AC380" s="103"/>
    </row>
    <row r="381" spans="27:29" ht="111.75" customHeight="1">
      <c r="AA381" s="102"/>
      <c r="AB381" s="102"/>
      <c r="AC381" s="103"/>
    </row>
    <row r="382" spans="27:29" ht="111.75" customHeight="1">
      <c r="AA382" s="102"/>
      <c r="AB382" s="102"/>
      <c r="AC382" s="103"/>
    </row>
    <row r="383" spans="27:29" ht="111.75" customHeight="1">
      <c r="AA383" s="102"/>
      <c r="AB383" s="102"/>
      <c r="AC383" s="103"/>
    </row>
    <row r="384" spans="27:29" ht="111.75" customHeight="1">
      <c r="AA384" s="102"/>
      <c r="AB384" s="102"/>
      <c r="AC384" s="103"/>
    </row>
    <row r="385" spans="27:29" ht="111.75" customHeight="1">
      <c r="AA385" s="102"/>
      <c r="AB385" s="102"/>
      <c r="AC385" s="103"/>
    </row>
    <row r="386" spans="27:29" ht="111.75" customHeight="1">
      <c r="AA386" s="102"/>
      <c r="AB386" s="102"/>
      <c r="AC386" s="103"/>
    </row>
    <row r="387" spans="27:29" ht="111.75" customHeight="1">
      <c r="AA387" s="102"/>
      <c r="AB387" s="102"/>
      <c r="AC387" s="103"/>
    </row>
    <row r="388" spans="27:29" ht="111.75" customHeight="1">
      <c r="AA388" s="102"/>
      <c r="AB388" s="102"/>
      <c r="AC388" s="103"/>
    </row>
    <row r="389" spans="27:29" ht="111.75" customHeight="1">
      <c r="AA389" s="102"/>
      <c r="AB389" s="102"/>
      <c r="AC389" s="103"/>
    </row>
    <row r="390" spans="27:29" ht="111.75" customHeight="1">
      <c r="AA390" s="102"/>
      <c r="AB390" s="102"/>
      <c r="AC390" s="103"/>
    </row>
    <row r="391" spans="27:29" ht="111.75" customHeight="1">
      <c r="AA391" s="102"/>
      <c r="AB391" s="102"/>
      <c r="AC391" s="103"/>
    </row>
    <row r="392" spans="27:29" ht="111.75" customHeight="1">
      <c r="AA392" s="102"/>
      <c r="AB392" s="102"/>
      <c r="AC392" s="103"/>
    </row>
    <row r="393" spans="27:29" ht="111.75" customHeight="1">
      <c r="AA393" s="102"/>
      <c r="AB393" s="102"/>
      <c r="AC393" s="103"/>
    </row>
    <row r="394" spans="27:29" ht="111.75" customHeight="1">
      <c r="AA394" s="102"/>
      <c r="AB394" s="102"/>
      <c r="AC394" s="103"/>
    </row>
    <row r="395" spans="27:29" ht="111.75" customHeight="1">
      <c r="AA395" s="102"/>
      <c r="AB395" s="102"/>
      <c r="AC395" s="103"/>
    </row>
    <row r="396" spans="27:29" ht="111.75" customHeight="1">
      <c r="AA396" s="102"/>
      <c r="AB396" s="102"/>
      <c r="AC396" s="103"/>
    </row>
    <row r="397" spans="27:29" ht="111.75" customHeight="1">
      <c r="AA397" s="102"/>
      <c r="AB397" s="102"/>
      <c r="AC397" s="103"/>
    </row>
    <row r="398" spans="27:29" ht="111.75" customHeight="1">
      <c r="AA398" s="102"/>
      <c r="AB398" s="102"/>
      <c r="AC398" s="103"/>
    </row>
    <row r="399" spans="27:29" ht="111.75" customHeight="1">
      <c r="AA399" s="102"/>
      <c r="AB399" s="102"/>
      <c r="AC399" s="103"/>
    </row>
    <row r="400" spans="27:29" ht="111.75" customHeight="1">
      <c r="AA400" s="102"/>
      <c r="AB400" s="102"/>
      <c r="AC400" s="103"/>
    </row>
    <row r="401" spans="27:29" ht="111.75" customHeight="1">
      <c r="AA401" s="102"/>
      <c r="AB401" s="102"/>
      <c r="AC401" s="103"/>
    </row>
    <row r="402" spans="27:29" ht="111.75" customHeight="1">
      <c r="AA402" s="102"/>
      <c r="AB402" s="102"/>
      <c r="AC402" s="103"/>
    </row>
    <row r="403" spans="27:29" ht="111.75" customHeight="1">
      <c r="AA403" s="102"/>
      <c r="AB403" s="102"/>
      <c r="AC403" s="103"/>
    </row>
    <row r="404" spans="27:29" ht="111.75" customHeight="1">
      <c r="AA404" s="102"/>
      <c r="AB404" s="102"/>
      <c r="AC404" s="103"/>
    </row>
    <row r="405" spans="27:29" ht="111.75" customHeight="1">
      <c r="AA405" s="102"/>
      <c r="AB405" s="102"/>
      <c r="AC405" s="103"/>
    </row>
    <row r="406" spans="27:29" ht="111.75" customHeight="1">
      <c r="AA406" s="102"/>
      <c r="AB406" s="102"/>
      <c r="AC406" s="103"/>
    </row>
    <row r="407" spans="27:29" ht="111.75" customHeight="1">
      <c r="AA407" s="102"/>
      <c r="AB407" s="102"/>
      <c r="AC407" s="103"/>
    </row>
    <row r="408" spans="27:29" ht="111.75" customHeight="1">
      <c r="AA408" s="102"/>
      <c r="AB408" s="102"/>
      <c r="AC408" s="103"/>
    </row>
    <row r="409" spans="27:29" ht="111.75" customHeight="1">
      <c r="AA409" s="102"/>
      <c r="AB409" s="102"/>
      <c r="AC409" s="103"/>
    </row>
    <row r="410" spans="27:29" ht="111.75" customHeight="1">
      <c r="AA410" s="102"/>
      <c r="AB410" s="102"/>
      <c r="AC410" s="103"/>
    </row>
    <row r="411" spans="27:29" ht="111.75" customHeight="1">
      <c r="AA411" s="102"/>
      <c r="AB411" s="102"/>
      <c r="AC411" s="103"/>
    </row>
    <row r="412" spans="27:29" ht="111.75" customHeight="1">
      <c r="AA412" s="102"/>
      <c r="AB412" s="102"/>
      <c r="AC412" s="103"/>
    </row>
    <row r="413" spans="27:29" ht="111.75" customHeight="1">
      <c r="AA413" s="102"/>
      <c r="AB413" s="102"/>
      <c r="AC413" s="103"/>
    </row>
    <row r="414" spans="27:29" ht="111.75" customHeight="1">
      <c r="AA414" s="102"/>
      <c r="AB414" s="102"/>
      <c r="AC414" s="103"/>
    </row>
    <row r="415" spans="27:29" ht="111.75" customHeight="1">
      <c r="AA415" s="102"/>
      <c r="AB415" s="102"/>
      <c r="AC415" s="103"/>
    </row>
    <row r="416" spans="27:29" ht="111.75" customHeight="1">
      <c r="AA416" s="102"/>
      <c r="AB416" s="102"/>
      <c r="AC416" s="103"/>
    </row>
    <row r="417" spans="27:29" ht="111.75" customHeight="1">
      <c r="AA417" s="102"/>
      <c r="AB417" s="102"/>
      <c r="AC417" s="103"/>
    </row>
    <row r="418" spans="27:29" ht="111.75" customHeight="1">
      <c r="AA418" s="102"/>
      <c r="AB418" s="102"/>
      <c r="AC418" s="103"/>
    </row>
    <row r="419" spans="27:29" ht="111.75" customHeight="1">
      <c r="AA419" s="102"/>
      <c r="AB419" s="102"/>
      <c r="AC419" s="103"/>
    </row>
    <row r="420" spans="27:29" ht="111.75" customHeight="1">
      <c r="AA420" s="102"/>
      <c r="AB420" s="102"/>
      <c r="AC420" s="103"/>
    </row>
    <row r="421" spans="27:29" ht="111.75" customHeight="1">
      <c r="AA421" s="102"/>
      <c r="AB421" s="102"/>
      <c r="AC421" s="103"/>
    </row>
    <row r="422" spans="27:29" ht="111.75" customHeight="1">
      <c r="AA422" s="102"/>
      <c r="AB422" s="102"/>
      <c r="AC422" s="103"/>
    </row>
    <row r="423" spans="27:29" ht="111.75" customHeight="1">
      <c r="AA423" s="102"/>
      <c r="AB423" s="102"/>
      <c r="AC423" s="103"/>
    </row>
    <row r="424" spans="27:29" ht="111.75" customHeight="1">
      <c r="AA424" s="102"/>
      <c r="AB424" s="102"/>
      <c r="AC424" s="103"/>
    </row>
    <row r="425" spans="27:29" ht="111.75" customHeight="1">
      <c r="AA425" s="102"/>
      <c r="AB425" s="102"/>
      <c r="AC425" s="103"/>
    </row>
    <row r="426" spans="27:29" ht="111.75" customHeight="1">
      <c r="AA426" s="102"/>
      <c r="AB426" s="102"/>
      <c r="AC426" s="103"/>
    </row>
    <row r="427" spans="27:29" ht="111.75" customHeight="1">
      <c r="AA427" s="102"/>
      <c r="AB427" s="102"/>
      <c r="AC427" s="103"/>
    </row>
    <row r="428" spans="27:29" ht="111.75" customHeight="1">
      <c r="AA428" s="102"/>
      <c r="AB428" s="102"/>
      <c r="AC428" s="103"/>
    </row>
    <row r="429" spans="27:29" ht="111.75" customHeight="1">
      <c r="AA429" s="102"/>
      <c r="AB429" s="102"/>
      <c r="AC429" s="103"/>
    </row>
    <row r="430" spans="27:29" ht="111.75" customHeight="1">
      <c r="AA430" s="102"/>
      <c r="AB430" s="102"/>
      <c r="AC430" s="103"/>
    </row>
    <row r="431" spans="27:29" ht="111.75" customHeight="1">
      <c r="AA431" s="102"/>
      <c r="AB431" s="102"/>
      <c r="AC431" s="103"/>
    </row>
    <row r="432" spans="27:29" ht="111.75" customHeight="1">
      <c r="AA432" s="102"/>
      <c r="AB432" s="102"/>
      <c r="AC432" s="103"/>
    </row>
    <row r="433" spans="27:29" ht="111.75" customHeight="1">
      <c r="AA433" s="102"/>
      <c r="AB433" s="102"/>
      <c r="AC433" s="103"/>
    </row>
    <row r="434" spans="27:29" ht="111.75" customHeight="1">
      <c r="AA434" s="102"/>
      <c r="AB434" s="102"/>
      <c r="AC434" s="103"/>
    </row>
    <row r="435" spans="27:29" ht="111.75" customHeight="1">
      <c r="AA435" s="102"/>
      <c r="AB435" s="102"/>
      <c r="AC435" s="103"/>
    </row>
    <row r="436" spans="27:29" ht="111.75" customHeight="1">
      <c r="AA436" s="102"/>
      <c r="AB436" s="102"/>
      <c r="AC436" s="103"/>
    </row>
    <row r="437" spans="27:29" ht="111.75" customHeight="1">
      <c r="AA437" s="102"/>
      <c r="AB437" s="102"/>
      <c r="AC437" s="103"/>
    </row>
    <row r="438" spans="27:29" ht="111.75" customHeight="1">
      <c r="AA438" s="102"/>
      <c r="AB438" s="102"/>
      <c r="AC438" s="103"/>
    </row>
    <row r="439" spans="27:29" ht="111.75" customHeight="1">
      <c r="AA439" s="102"/>
      <c r="AB439" s="102"/>
      <c r="AC439" s="103"/>
    </row>
    <row r="440" spans="27:29" ht="111.75" customHeight="1">
      <c r="AA440" s="102"/>
      <c r="AB440" s="102"/>
      <c r="AC440" s="103"/>
    </row>
    <row r="441" spans="27:29" ht="111.75" customHeight="1">
      <c r="AA441" s="102"/>
      <c r="AB441" s="102"/>
      <c r="AC441" s="103"/>
    </row>
    <row r="442" spans="27:29" ht="111.75" customHeight="1">
      <c r="AA442" s="102"/>
      <c r="AB442" s="102"/>
      <c r="AC442" s="103"/>
    </row>
    <row r="443" spans="27:29" ht="111.75" customHeight="1">
      <c r="AA443" s="102"/>
      <c r="AB443" s="102"/>
      <c r="AC443" s="103"/>
    </row>
    <row r="444" spans="27:29" ht="111.75" customHeight="1">
      <c r="AA444" s="102"/>
      <c r="AB444" s="102"/>
      <c r="AC444" s="103"/>
    </row>
    <row r="445" spans="27:29" ht="111.75" customHeight="1">
      <c r="AA445" s="102"/>
      <c r="AB445" s="102"/>
      <c r="AC445" s="103"/>
    </row>
    <row r="446" spans="27:29" ht="111.75" customHeight="1">
      <c r="AA446" s="102"/>
      <c r="AB446" s="102"/>
      <c r="AC446" s="103"/>
    </row>
    <row r="447" spans="27:29" ht="111.75" customHeight="1">
      <c r="AA447" s="102"/>
      <c r="AB447" s="102"/>
      <c r="AC447" s="103"/>
    </row>
    <row r="448" spans="27:29" ht="111.75" customHeight="1">
      <c r="AA448" s="102"/>
      <c r="AB448" s="102"/>
      <c r="AC448" s="103"/>
    </row>
    <row r="449" spans="27:29" ht="111.75" customHeight="1">
      <c r="AA449" s="102"/>
      <c r="AB449" s="102"/>
      <c r="AC449" s="103"/>
    </row>
    <row r="450" spans="27:29" ht="111.75" customHeight="1">
      <c r="AA450" s="102"/>
      <c r="AB450" s="102"/>
      <c r="AC450" s="103"/>
    </row>
    <row r="451" spans="27:29" ht="111.75" customHeight="1">
      <c r="AA451" s="102"/>
      <c r="AB451" s="102"/>
      <c r="AC451" s="103"/>
    </row>
    <row r="452" spans="27:29" ht="111.75" customHeight="1">
      <c r="AA452" s="102"/>
      <c r="AB452" s="102"/>
      <c r="AC452" s="103"/>
    </row>
    <row r="453" spans="27:29" ht="111.75" customHeight="1">
      <c r="AA453" s="102"/>
      <c r="AB453" s="102"/>
      <c r="AC453" s="103"/>
    </row>
    <row r="454" spans="27:29" ht="111.75" customHeight="1">
      <c r="AA454" s="102"/>
      <c r="AB454" s="102"/>
      <c r="AC454" s="103"/>
    </row>
    <row r="455" spans="27:29" ht="111.75" customHeight="1">
      <c r="AA455" s="102"/>
      <c r="AB455" s="102"/>
      <c r="AC455" s="103"/>
    </row>
    <row r="456" spans="27:29" ht="111.75" customHeight="1">
      <c r="AA456" s="102"/>
      <c r="AB456" s="102"/>
      <c r="AC456" s="103"/>
    </row>
    <row r="457" spans="27:29" ht="111.75" customHeight="1">
      <c r="AA457" s="102"/>
      <c r="AB457" s="102"/>
      <c r="AC457" s="103"/>
    </row>
    <row r="458" spans="27:29" ht="111.75" customHeight="1">
      <c r="AA458" s="102"/>
      <c r="AB458" s="102"/>
      <c r="AC458" s="103"/>
    </row>
    <row r="459" spans="27:29" ht="111.75" customHeight="1">
      <c r="AA459" s="102"/>
      <c r="AB459" s="102"/>
      <c r="AC459" s="103"/>
    </row>
    <row r="460" spans="27:29" ht="111.75" customHeight="1">
      <c r="AA460" s="102"/>
      <c r="AB460" s="102"/>
      <c r="AC460" s="103"/>
    </row>
    <row r="461" spans="27:29" ht="111.75" customHeight="1">
      <c r="AA461" s="102"/>
      <c r="AB461" s="102"/>
      <c r="AC461" s="103"/>
    </row>
    <row r="462" spans="27:29" ht="111.75" customHeight="1">
      <c r="AA462" s="102"/>
      <c r="AB462" s="102"/>
      <c r="AC462" s="103"/>
    </row>
    <row r="463" spans="27:29" ht="111.75" customHeight="1">
      <c r="AA463" s="102"/>
      <c r="AB463" s="102"/>
      <c r="AC463" s="103"/>
    </row>
    <row r="464" spans="27:29" ht="111.75" customHeight="1">
      <c r="AA464" s="102"/>
      <c r="AB464" s="102"/>
      <c r="AC464" s="103"/>
    </row>
    <row r="465" spans="27:29" ht="111.75" customHeight="1">
      <c r="AA465" s="102"/>
      <c r="AB465" s="102"/>
      <c r="AC465" s="103"/>
    </row>
    <row r="466" spans="27:29" ht="111.75" customHeight="1">
      <c r="AA466" s="102"/>
      <c r="AB466" s="102"/>
      <c r="AC466" s="103"/>
    </row>
    <row r="467" spans="27:29" ht="111.75" customHeight="1">
      <c r="AA467" s="102"/>
      <c r="AB467" s="102"/>
      <c r="AC467" s="103"/>
    </row>
    <row r="468" spans="27:29" ht="111.75" customHeight="1">
      <c r="AA468" s="102"/>
      <c r="AB468" s="102"/>
      <c r="AC468" s="103"/>
    </row>
    <row r="469" spans="27:29" ht="111.75" customHeight="1">
      <c r="AA469" s="102"/>
      <c r="AB469" s="102"/>
      <c r="AC469" s="103"/>
    </row>
    <row r="470" spans="27:29" ht="111.75" customHeight="1">
      <c r="AA470" s="102"/>
      <c r="AB470" s="102"/>
      <c r="AC470" s="103"/>
    </row>
    <row r="471" spans="27:29" ht="111.75" customHeight="1">
      <c r="AA471" s="102"/>
      <c r="AB471" s="102"/>
      <c r="AC471" s="103"/>
    </row>
    <row r="472" spans="27:29" ht="111.75" customHeight="1">
      <c r="AA472" s="102"/>
      <c r="AB472" s="102"/>
      <c r="AC472" s="103"/>
    </row>
    <row r="473" spans="27:29" ht="111.75" customHeight="1">
      <c r="AA473" s="102"/>
      <c r="AB473" s="102"/>
      <c r="AC473" s="103"/>
    </row>
    <row r="474" spans="27:29" ht="111.75" customHeight="1">
      <c r="AA474" s="102"/>
      <c r="AB474" s="102"/>
      <c r="AC474" s="103"/>
    </row>
    <row r="475" spans="27:29" ht="111.75" customHeight="1">
      <c r="AA475" s="102"/>
      <c r="AB475" s="102"/>
      <c r="AC475" s="103"/>
    </row>
    <row r="476" spans="27:29" ht="111.75" customHeight="1">
      <c r="AA476" s="102"/>
      <c r="AB476" s="102"/>
      <c r="AC476" s="103"/>
    </row>
    <row r="477" spans="27:29" ht="111.75" customHeight="1">
      <c r="AA477" s="102"/>
      <c r="AB477" s="102"/>
      <c r="AC477" s="103"/>
    </row>
    <row r="478" spans="27:29" ht="111.75" customHeight="1">
      <c r="AA478" s="102"/>
      <c r="AB478" s="102"/>
      <c r="AC478" s="103"/>
    </row>
    <row r="479" spans="27:29" ht="111.75" customHeight="1">
      <c r="AA479" s="102"/>
      <c r="AB479" s="102"/>
      <c r="AC479" s="103"/>
    </row>
    <row r="480" spans="27:29" ht="111.75" customHeight="1">
      <c r="AA480" s="102"/>
      <c r="AB480" s="102"/>
      <c r="AC480" s="103"/>
    </row>
    <row r="481" spans="27:29" ht="111.75" customHeight="1">
      <c r="AA481" s="102"/>
      <c r="AB481" s="102"/>
      <c r="AC481" s="103"/>
    </row>
    <row r="482" spans="27:29" ht="111.75" customHeight="1">
      <c r="AA482" s="102"/>
      <c r="AB482" s="102"/>
      <c r="AC482" s="103"/>
    </row>
    <row r="483" spans="27:29" ht="111.75" customHeight="1">
      <c r="AA483" s="102"/>
      <c r="AB483" s="102"/>
      <c r="AC483" s="103"/>
    </row>
    <row r="484" spans="27:29" ht="111.75" customHeight="1">
      <c r="AA484" s="102"/>
      <c r="AB484" s="102"/>
      <c r="AC484" s="103"/>
    </row>
    <row r="485" spans="27:29" ht="111.75" customHeight="1">
      <c r="AA485" s="102"/>
      <c r="AB485" s="102"/>
      <c r="AC485" s="103"/>
    </row>
    <row r="486" spans="27:29" ht="111.75" customHeight="1">
      <c r="AA486" s="102"/>
      <c r="AB486" s="102"/>
      <c r="AC486" s="103"/>
    </row>
    <row r="487" spans="27:29" ht="111.75" customHeight="1">
      <c r="AA487" s="102"/>
      <c r="AB487" s="102"/>
      <c r="AC487" s="103"/>
    </row>
    <row r="488" spans="27:29" ht="111.75" customHeight="1">
      <c r="AA488" s="102"/>
      <c r="AB488" s="102"/>
      <c r="AC488" s="103"/>
    </row>
    <row r="489" spans="27:29" ht="111.75" customHeight="1">
      <c r="AA489" s="102"/>
      <c r="AB489" s="102"/>
      <c r="AC489" s="103"/>
    </row>
    <row r="490" spans="27:29" ht="111.75" customHeight="1">
      <c r="AA490" s="102"/>
      <c r="AB490" s="102"/>
      <c r="AC490" s="103"/>
    </row>
    <row r="491" spans="27:29" ht="111.75" customHeight="1">
      <c r="AA491" s="102"/>
      <c r="AB491" s="102"/>
      <c r="AC491" s="103"/>
    </row>
    <row r="492" spans="27:29" ht="111.75" customHeight="1">
      <c r="AA492" s="102"/>
      <c r="AB492" s="102"/>
      <c r="AC492" s="103"/>
    </row>
    <row r="493" spans="27:29" ht="111.75" customHeight="1">
      <c r="AA493" s="102"/>
      <c r="AB493" s="102"/>
      <c r="AC493" s="103"/>
    </row>
    <row r="494" spans="27:29" ht="111.75" customHeight="1">
      <c r="AA494" s="102"/>
      <c r="AB494" s="102"/>
      <c r="AC494" s="103"/>
    </row>
    <row r="495" spans="27:29" ht="111.75" customHeight="1">
      <c r="AA495" s="102"/>
      <c r="AB495" s="102"/>
      <c r="AC495" s="103"/>
    </row>
    <row r="496" spans="27:29" ht="111.75" customHeight="1">
      <c r="AA496" s="102"/>
      <c r="AB496" s="102"/>
      <c r="AC496" s="103"/>
    </row>
    <row r="497" spans="27:29" ht="111.75" customHeight="1">
      <c r="AA497" s="102"/>
      <c r="AB497" s="102"/>
      <c r="AC497" s="103"/>
    </row>
    <row r="498" spans="27:29" ht="111.75" customHeight="1">
      <c r="AA498" s="102"/>
      <c r="AB498" s="102"/>
      <c r="AC498" s="103"/>
    </row>
    <row r="499" spans="27:29" ht="111.75" customHeight="1">
      <c r="AA499" s="102"/>
      <c r="AB499" s="102"/>
      <c r="AC499" s="103"/>
    </row>
    <row r="500" spans="27:29" ht="111.75" customHeight="1">
      <c r="AA500" s="102"/>
      <c r="AB500" s="102"/>
      <c r="AC500" s="103"/>
    </row>
    <row r="501" spans="27:29" ht="111.75" customHeight="1">
      <c r="AA501" s="102"/>
      <c r="AB501" s="102"/>
      <c r="AC501" s="103"/>
    </row>
    <row r="502" spans="27:29" ht="111.75" customHeight="1">
      <c r="AA502" s="102"/>
      <c r="AB502" s="102"/>
      <c r="AC502" s="103"/>
    </row>
    <row r="503" spans="27:29" ht="111.75" customHeight="1">
      <c r="AA503" s="102"/>
      <c r="AB503" s="102"/>
      <c r="AC503" s="103"/>
    </row>
    <row r="504" spans="27:29" ht="111.75" customHeight="1">
      <c r="AA504" s="102"/>
      <c r="AB504" s="102"/>
      <c r="AC504" s="103"/>
    </row>
    <row r="505" spans="27:29" ht="111.75" customHeight="1">
      <c r="AA505" s="102"/>
      <c r="AB505" s="102"/>
      <c r="AC505" s="103"/>
    </row>
    <row r="506" spans="27:29" ht="111.75" customHeight="1">
      <c r="AA506" s="102"/>
      <c r="AB506" s="102"/>
      <c r="AC506" s="103"/>
    </row>
    <row r="507" spans="27:29" ht="111.75" customHeight="1">
      <c r="AA507" s="102"/>
      <c r="AB507" s="102"/>
      <c r="AC507" s="103"/>
    </row>
    <row r="508" spans="27:29" ht="111.75" customHeight="1">
      <c r="AA508" s="102"/>
      <c r="AB508" s="102"/>
      <c r="AC508" s="103"/>
    </row>
    <row r="509" spans="27:29" ht="111.75" customHeight="1">
      <c r="AA509" s="102"/>
      <c r="AB509" s="102"/>
      <c r="AC509" s="103"/>
    </row>
    <row r="510" spans="27:29" ht="111.75" customHeight="1">
      <c r="AA510" s="102"/>
      <c r="AB510" s="102"/>
      <c r="AC510" s="103"/>
    </row>
    <row r="511" spans="27:29" ht="111.75" customHeight="1">
      <c r="AA511" s="102"/>
      <c r="AB511" s="102"/>
      <c r="AC511" s="103"/>
    </row>
    <row r="512" spans="27:29" ht="111.75" customHeight="1">
      <c r="AA512" s="102"/>
      <c r="AB512" s="102"/>
      <c r="AC512" s="103"/>
    </row>
    <row r="513" spans="27:29" ht="111.75" customHeight="1">
      <c r="AA513" s="102"/>
      <c r="AB513" s="102"/>
      <c r="AC513" s="103"/>
    </row>
    <row r="514" spans="27:29" ht="111.75" customHeight="1">
      <c r="AA514" s="102"/>
      <c r="AB514" s="102"/>
      <c r="AC514" s="103"/>
    </row>
    <row r="515" spans="27:29" ht="111.75" customHeight="1">
      <c r="AA515" s="102"/>
      <c r="AB515" s="102"/>
      <c r="AC515" s="103"/>
    </row>
    <row r="516" spans="27:29" ht="111.75" customHeight="1">
      <c r="AA516" s="102"/>
      <c r="AB516" s="102"/>
      <c r="AC516" s="103"/>
    </row>
    <row r="517" spans="27:29" ht="111.75" customHeight="1">
      <c r="AA517" s="102"/>
      <c r="AB517" s="102"/>
      <c r="AC517" s="103"/>
    </row>
    <row r="518" spans="27:29" ht="111.75" customHeight="1">
      <c r="AA518" s="102"/>
      <c r="AB518" s="102"/>
      <c r="AC518" s="103"/>
    </row>
    <row r="519" spans="27:29" ht="111.75" customHeight="1">
      <c r="AA519" s="102"/>
      <c r="AB519" s="102"/>
      <c r="AC519" s="103"/>
    </row>
    <row r="520" spans="27:29" ht="111.75" customHeight="1">
      <c r="AA520" s="102"/>
      <c r="AB520" s="102"/>
      <c r="AC520" s="103"/>
    </row>
    <row r="521" spans="27:29" ht="111.75" customHeight="1">
      <c r="AA521" s="102"/>
      <c r="AB521" s="102"/>
      <c r="AC521" s="103"/>
    </row>
    <row r="522" spans="27:29" ht="111.75" customHeight="1">
      <c r="AA522" s="102"/>
      <c r="AB522" s="102"/>
      <c r="AC522" s="103"/>
    </row>
    <row r="523" spans="27:29" ht="111.75" customHeight="1">
      <c r="AA523" s="102"/>
      <c r="AB523" s="102"/>
      <c r="AC523" s="103"/>
    </row>
    <row r="524" spans="27:29" ht="111.75" customHeight="1">
      <c r="AA524" s="102"/>
      <c r="AB524" s="102"/>
      <c r="AC524" s="103"/>
    </row>
    <row r="525" spans="27:29" ht="111.75" customHeight="1">
      <c r="AA525" s="102"/>
      <c r="AB525" s="102"/>
      <c r="AC525" s="103"/>
    </row>
    <row r="526" spans="27:29" ht="111.75" customHeight="1">
      <c r="AA526" s="102"/>
      <c r="AB526" s="102"/>
      <c r="AC526" s="103"/>
    </row>
    <row r="527" spans="27:29" ht="111.75" customHeight="1">
      <c r="AA527" s="102"/>
      <c r="AB527" s="102"/>
      <c r="AC527" s="103"/>
    </row>
    <row r="528" spans="27:29" ht="111.75" customHeight="1">
      <c r="AA528" s="102"/>
      <c r="AB528" s="102"/>
      <c r="AC528" s="103"/>
    </row>
    <row r="529" spans="27:29" ht="111.75" customHeight="1">
      <c r="AA529" s="102"/>
      <c r="AB529" s="102"/>
      <c r="AC529" s="103"/>
    </row>
    <row r="530" spans="27:29" ht="111.75" customHeight="1">
      <c r="AA530" s="102"/>
      <c r="AB530" s="102"/>
      <c r="AC530" s="103"/>
    </row>
    <row r="531" spans="27:29" ht="111.75" customHeight="1">
      <c r="AA531" s="102"/>
      <c r="AB531" s="102"/>
      <c r="AC531" s="103"/>
    </row>
    <row r="532" spans="27:29" ht="111.75" customHeight="1">
      <c r="AA532" s="102"/>
      <c r="AB532" s="102"/>
      <c r="AC532" s="103"/>
    </row>
    <row r="533" spans="27:29" ht="111.75" customHeight="1">
      <c r="AA533" s="102"/>
      <c r="AB533" s="102"/>
      <c r="AC533" s="103"/>
    </row>
    <row r="534" spans="27:29" ht="111.75" customHeight="1">
      <c r="AA534" s="102"/>
      <c r="AB534" s="102"/>
      <c r="AC534" s="103"/>
    </row>
    <row r="535" spans="27:29" ht="111.75" customHeight="1">
      <c r="AA535" s="102"/>
      <c r="AB535" s="102"/>
      <c r="AC535" s="103"/>
    </row>
    <row r="536" spans="27:29" ht="111.75" customHeight="1">
      <c r="AA536" s="102"/>
      <c r="AB536" s="102"/>
      <c r="AC536" s="103"/>
    </row>
    <row r="537" spans="27:29" ht="111.75" customHeight="1">
      <c r="AA537" s="102"/>
      <c r="AB537" s="102"/>
      <c r="AC537" s="103"/>
    </row>
    <row r="538" spans="27:29" ht="111.75" customHeight="1">
      <c r="AA538" s="102"/>
      <c r="AB538" s="102"/>
      <c r="AC538" s="103"/>
    </row>
    <row r="539" spans="27:29" ht="111.75" customHeight="1">
      <c r="AA539" s="102"/>
      <c r="AB539" s="102"/>
      <c r="AC539" s="103"/>
    </row>
    <row r="540" spans="27:29" ht="111.75" customHeight="1">
      <c r="AA540" s="102"/>
      <c r="AB540" s="102"/>
      <c r="AC540" s="103"/>
    </row>
    <row r="541" spans="27:29" ht="111.75" customHeight="1">
      <c r="AA541" s="102"/>
      <c r="AB541" s="102"/>
      <c r="AC541" s="103"/>
    </row>
    <row r="542" spans="27:29" ht="111.75" customHeight="1">
      <c r="AA542" s="102"/>
      <c r="AB542" s="102"/>
      <c r="AC542" s="103"/>
    </row>
    <row r="543" spans="27:29" ht="111.75" customHeight="1">
      <c r="AA543" s="102"/>
      <c r="AB543" s="102"/>
      <c r="AC543" s="103"/>
    </row>
    <row r="544" spans="27:29" ht="111.75" customHeight="1">
      <c r="AA544" s="102"/>
      <c r="AB544" s="102"/>
      <c r="AC544" s="103"/>
    </row>
    <row r="545" spans="27:29" ht="111.75" customHeight="1">
      <c r="AA545" s="102"/>
      <c r="AB545" s="102"/>
      <c r="AC545" s="103"/>
    </row>
    <row r="546" spans="27:29" ht="111.75" customHeight="1">
      <c r="AA546" s="102"/>
      <c r="AB546" s="102"/>
      <c r="AC546" s="103"/>
    </row>
    <row r="547" spans="27:29" ht="111.75" customHeight="1">
      <c r="AA547" s="102"/>
      <c r="AB547" s="102"/>
      <c r="AC547" s="103"/>
    </row>
    <row r="548" spans="27:29" ht="111.75" customHeight="1">
      <c r="AA548" s="102"/>
      <c r="AB548" s="102"/>
      <c r="AC548" s="103"/>
    </row>
    <row r="549" spans="27:29" ht="111.75" customHeight="1">
      <c r="AA549" s="102"/>
      <c r="AB549" s="102"/>
      <c r="AC549" s="103"/>
    </row>
    <row r="550" spans="27:29" ht="111.75" customHeight="1">
      <c r="AA550" s="102"/>
      <c r="AB550" s="102"/>
      <c r="AC550" s="103"/>
    </row>
    <row r="551" spans="27:29" ht="111.75" customHeight="1">
      <c r="AA551" s="102"/>
      <c r="AB551" s="102"/>
      <c r="AC551" s="103"/>
    </row>
    <row r="552" spans="27:29" ht="111.75" customHeight="1">
      <c r="AA552" s="102"/>
      <c r="AB552" s="102"/>
      <c r="AC552" s="103"/>
    </row>
    <row r="553" spans="27:29" ht="111.75" customHeight="1">
      <c r="AA553" s="102"/>
      <c r="AB553" s="102"/>
      <c r="AC553" s="103"/>
    </row>
    <row r="554" spans="27:29" ht="111.75" customHeight="1">
      <c r="AA554" s="102"/>
      <c r="AB554" s="102"/>
      <c r="AC554" s="103"/>
    </row>
    <row r="555" spans="27:29" ht="111.75" customHeight="1">
      <c r="AA555" s="102"/>
      <c r="AB555" s="102"/>
      <c r="AC555" s="103"/>
    </row>
    <row r="556" spans="27:29" ht="111.75" customHeight="1">
      <c r="AA556" s="102"/>
      <c r="AB556" s="102"/>
      <c r="AC556" s="103"/>
    </row>
    <row r="557" spans="27:29" ht="111.75" customHeight="1">
      <c r="AA557" s="102"/>
      <c r="AB557" s="102"/>
      <c r="AC557" s="103"/>
    </row>
    <row r="558" spans="27:29" ht="111.75" customHeight="1">
      <c r="AA558" s="102"/>
      <c r="AB558" s="102"/>
      <c r="AC558" s="103"/>
    </row>
    <row r="559" spans="27:29" ht="111.75" customHeight="1">
      <c r="AA559" s="102"/>
      <c r="AB559" s="102"/>
      <c r="AC559" s="103"/>
    </row>
    <row r="560" spans="27:29" ht="111.75" customHeight="1">
      <c r="AA560" s="102"/>
      <c r="AB560" s="102"/>
      <c r="AC560" s="103"/>
    </row>
    <row r="561" spans="27:29" ht="111.75" customHeight="1">
      <c r="AA561" s="102"/>
      <c r="AB561" s="102"/>
      <c r="AC561" s="103"/>
    </row>
    <row r="562" spans="27:29" ht="111.75" customHeight="1">
      <c r="AA562" s="102"/>
      <c r="AB562" s="102"/>
      <c r="AC562" s="103"/>
    </row>
    <row r="563" spans="27:29" ht="111.75" customHeight="1">
      <c r="AA563" s="102"/>
      <c r="AB563" s="102"/>
      <c r="AC563" s="103"/>
    </row>
    <row r="564" spans="27:29" ht="111.75" customHeight="1">
      <c r="AA564" s="102"/>
      <c r="AB564" s="102"/>
      <c r="AC564" s="103"/>
    </row>
    <row r="565" spans="27:29" ht="111.75" customHeight="1">
      <c r="AA565" s="102"/>
      <c r="AB565" s="102"/>
      <c r="AC565" s="103"/>
    </row>
    <row r="566" spans="27:29" ht="111.75" customHeight="1">
      <c r="AA566" s="102"/>
      <c r="AB566" s="102"/>
      <c r="AC566" s="103"/>
    </row>
    <row r="567" spans="27:29" ht="111.75" customHeight="1">
      <c r="AA567" s="102"/>
      <c r="AB567" s="102"/>
      <c r="AC567" s="103"/>
    </row>
    <row r="568" spans="27:29" ht="111.75" customHeight="1">
      <c r="AA568" s="102"/>
      <c r="AB568" s="102"/>
      <c r="AC568" s="103"/>
    </row>
    <row r="569" spans="27:29" ht="111.75" customHeight="1">
      <c r="AA569" s="102"/>
      <c r="AB569" s="102"/>
      <c r="AC569" s="103"/>
    </row>
    <row r="570" spans="27:29" ht="111.75" customHeight="1">
      <c r="AA570" s="102"/>
      <c r="AB570" s="102"/>
      <c r="AC570" s="103"/>
    </row>
    <row r="571" spans="27:29" ht="111.75" customHeight="1">
      <c r="AA571" s="102"/>
      <c r="AB571" s="102"/>
      <c r="AC571" s="103"/>
    </row>
    <row r="572" spans="27:29" ht="111.75" customHeight="1">
      <c r="AA572" s="102"/>
      <c r="AB572" s="102"/>
      <c r="AC572" s="103"/>
    </row>
    <row r="573" spans="27:29" ht="111.75" customHeight="1">
      <c r="AA573" s="102"/>
      <c r="AB573" s="102"/>
      <c r="AC573" s="103"/>
    </row>
    <row r="574" spans="27:29" ht="111.75" customHeight="1">
      <c r="AA574" s="102"/>
      <c r="AB574" s="102"/>
      <c r="AC574" s="103"/>
    </row>
    <row r="575" spans="27:29" ht="111.75" customHeight="1">
      <c r="AA575" s="102"/>
      <c r="AB575" s="102"/>
      <c r="AC575" s="103"/>
    </row>
    <row r="576" spans="27:29" ht="111.75" customHeight="1">
      <c r="AA576" s="102"/>
      <c r="AB576" s="102"/>
      <c r="AC576" s="103"/>
    </row>
    <row r="577" spans="27:29" ht="111.75" customHeight="1">
      <c r="AA577" s="102"/>
      <c r="AB577" s="102"/>
      <c r="AC577" s="103"/>
    </row>
    <row r="578" spans="27:29" ht="111.75" customHeight="1">
      <c r="AA578" s="102"/>
      <c r="AB578" s="102"/>
      <c r="AC578" s="103"/>
    </row>
    <row r="579" spans="27:29" ht="111.75" customHeight="1">
      <c r="AA579" s="102"/>
      <c r="AB579" s="102"/>
      <c r="AC579" s="103"/>
    </row>
    <row r="580" spans="27:29" ht="111.75" customHeight="1">
      <c r="AA580" s="102"/>
      <c r="AB580" s="102"/>
      <c r="AC580" s="103"/>
    </row>
    <row r="581" spans="27:29" ht="111.75" customHeight="1">
      <c r="AA581" s="102"/>
      <c r="AB581" s="102"/>
      <c r="AC581" s="103"/>
    </row>
    <row r="582" spans="27:29" ht="111.75" customHeight="1">
      <c r="AA582" s="102"/>
      <c r="AB582" s="102"/>
      <c r="AC582" s="103"/>
    </row>
    <row r="583" spans="27:29" ht="111.75" customHeight="1">
      <c r="AA583" s="102"/>
      <c r="AB583" s="102"/>
      <c r="AC583" s="103"/>
    </row>
    <row r="584" spans="27:29" ht="111.75" customHeight="1">
      <c r="AA584" s="102"/>
      <c r="AB584" s="102"/>
      <c r="AC584" s="103"/>
    </row>
    <row r="585" spans="27:29" ht="111.75" customHeight="1">
      <c r="AA585" s="102"/>
      <c r="AB585" s="102"/>
      <c r="AC585" s="103"/>
    </row>
    <row r="586" spans="27:29" ht="111.75" customHeight="1">
      <c r="AA586" s="102"/>
      <c r="AB586" s="102"/>
      <c r="AC586" s="103"/>
    </row>
    <row r="587" spans="27:29" ht="111.75" customHeight="1">
      <c r="AA587" s="102"/>
      <c r="AB587" s="102"/>
      <c r="AC587" s="103"/>
    </row>
    <row r="588" spans="27:29" ht="111.75" customHeight="1">
      <c r="AA588" s="102"/>
      <c r="AB588" s="102"/>
      <c r="AC588" s="103"/>
    </row>
    <row r="589" spans="27:29" ht="111.75" customHeight="1">
      <c r="AA589" s="102"/>
      <c r="AB589" s="102"/>
      <c r="AC589" s="103"/>
    </row>
    <row r="590" spans="27:29" ht="111.75" customHeight="1">
      <c r="AA590" s="102"/>
      <c r="AB590" s="102"/>
      <c r="AC590" s="103"/>
    </row>
    <row r="591" spans="27:29" ht="111.75" customHeight="1">
      <c r="AA591" s="102"/>
      <c r="AB591" s="102"/>
      <c r="AC591" s="103"/>
    </row>
    <row r="592" spans="27:29" ht="111.75" customHeight="1">
      <c r="AA592" s="102"/>
      <c r="AB592" s="102"/>
      <c r="AC592" s="103"/>
    </row>
    <row r="593" spans="27:29" ht="111.75" customHeight="1">
      <c r="AA593" s="102"/>
      <c r="AB593" s="102"/>
      <c r="AC593" s="103"/>
    </row>
    <row r="594" spans="27:29" ht="111.75" customHeight="1">
      <c r="AA594" s="102"/>
      <c r="AB594" s="102"/>
      <c r="AC594" s="103"/>
    </row>
    <row r="595" spans="27:29" ht="111.75" customHeight="1">
      <c r="AA595" s="102"/>
      <c r="AB595" s="102"/>
      <c r="AC595" s="103"/>
    </row>
    <row r="596" spans="27:29" ht="111.75" customHeight="1">
      <c r="AA596" s="102"/>
      <c r="AB596" s="102"/>
      <c r="AC596" s="103"/>
    </row>
    <row r="597" spans="27:29" ht="111.75" customHeight="1">
      <c r="AA597" s="102"/>
      <c r="AB597" s="102"/>
      <c r="AC597" s="103"/>
    </row>
    <row r="598" spans="27:29" ht="111.75" customHeight="1">
      <c r="AA598" s="102"/>
      <c r="AB598" s="102"/>
      <c r="AC598" s="103"/>
    </row>
    <row r="599" spans="27:29" ht="111.75" customHeight="1">
      <c r="AA599" s="102"/>
      <c r="AB599" s="102"/>
      <c r="AC599" s="103"/>
    </row>
    <row r="600" spans="27:29" ht="111.75" customHeight="1">
      <c r="AA600" s="102"/>
      <c r="AB600" s="102"/>
      <c r="AC600" s="103"/>
    </row>
    <row r="601" spans="27:29" ht="111.75" customHeight="1">
      <c r="AA601" s="102"/>
      <c r="AB601" s="102"/>
      <c r="AC601" s="103"/>
    </row>
    <row r="602" spans="27:29" ht="111.75" customHeight="1">
      <c r="AA602" s="102"/>
      <c r="AB602" s="102"/>
      <c r="AC602" s="103"/>
    </row>
    <row r="603" spans="27:29" ht="111.75" customHeight="1">
      <c r="AA603" s="102"/>
      <c r="AB603" s="102"/>
      <c r="AC603" s="103"/>
    </row>
    <row r="604" spans="27:29" ht="111.75" customHeight="1">
      <c r="AA604" s="102"/>
      <c r="AB604" s="102"/>
      <c r="AC604" s="103"/>
    </row>
    <row r="605" spans="27:29" ht="111.75" customHeight="1">
      <c r="AA605" s="102"/>
      <c r="AB605" s="102"/>
      <c r="AC605" s="103"/>
    </row>
    <row r="606" spans="27:29" ht="111.75" customHeight="1">
      <c r="AA606" s="102"/>
      <c r="AB606" s="102"/>
      <c r="AC606" s="103"/>
    </row>
    <row r="607" spans="27:29" ht="111.75" customHeight="1">
      <c r="AA607" s="102"/>
      <c r="AB607" s="102"/>
      <c r="AC607" s="103"/>
    </row>
    <row r="608" spans="27:29" ht="111.75" customHeight="1">
      <c r="AA608" s="102"/>
      <c r="AB608" s="102"/>
      <c r="AC608" s="103"/>
    </row>
    <row r="609" spans="27:29" ht="111.75" customHeight="1">
      <c r="AA609" s="102"/>
      <c r="AB609" s="102"/>
      <c r="AC609" s="103"/>
    </row>
    <row r="610" spans="27:29" ht="111.75" customHeight="1">
      <c r="AA610" s="102"/>
      <c r="AB610" s="102"/>
      <c r="AC610" s="103"/>
    </row>
    <row r="611" spans="27:29" ht="111.75" customHeight="1">
      <c r="AA611" s="102"/>
      <c r="AB611" s="102"/>
      <c r="AC611" s="103"/>
    </row>
    <row r="612" spans="27:29" ht="111.75" customHeight="1">
      <c r="AA612" s="102"/>
      <c r="AB612" s="102"/>
      <c r="AC612" s="103"/>
    </row>
    <row r="613" spans="27:29" ht="111.75" customHeight="1">
      <c r="AA613" s="102"/>
      <c r="AB613" s="102"/>
      <c r="AC613" s="103"/>
    </row>
    <row r="614" spans="27:29" ht="111.75" customHeight="1">
      <c r="AA614" s="102"/>
      <c r="AB614" s="102"/>
      <c r="AC614" s="103"/>
    </row>
    <row r="615" spans="27:29" ht="111.75" customHeight="1">
      <c r="AA615" s="102"/>
      <c r="AB615" s="102"/>
      <c r="AC615" s="103"/>
    </row>
    <row r="616" spans="27:29" ht="111.75" customHeight="1">
      <c r="AA616" s="102"/>
      <c r="AB616" s="102"/>
      <c r="AC616" s="103"/>
    </row>
    <row r="617" spans="27:29" ht="111.75" customHeight="1">
      <c r="AA617" s="102"/>
      <c r="AB617" s="102"/>
      <c r="AC617" s="103"/>
    </row>
    <row r="618" spans="27:29" ht="111.75" customHeight="1">
      <c r="AA618" s="102"/>
      <c r="AB618" s="102"/>
      <c r="AC618" s="103"/>
    </row>
    <row r="619" spans="27:29" ht="111.75" customHeight="1">
      <c r="AA619" s="102"/>
      <c r="AB619" s="102"/>
      <c r="AC619" s="103"/>
    </row>
    <row r="620" spans="27:29" ht="111.75" customHeight="1">
      <c r="AA620" s="102"/>
      <c r="AB620" s="102"/>
      <c r="AC620" s="103"/>
    </row>
    <row r="621" spans="27:29" ht="111.75" customHeight="1">
      <c r="AA621" s="102"/>
      <c r="AB621" s="102"/>
      <c r="AC621" s="103"/>
    </row>
    <row r="622" spans="27:29" ht="111.75" customHeight="1">
      <c r="AA622" s="102"/>
      <c r="AB622" s="102"/>
      <c r="AC622" s="103"/>
    </row>
    <row r="623" spans="27:29" ht="111.75" customHeight="1">
      <c r="AA623" s="102"/>
      <c r="AB623" s="102"/>
      <c r="AC623" s="103"/>
    </row>
    <row r="624" spans="27:29" ht="111.75" customHeight="1">
      <c r="AA624" s="102"/>
      <c r="AB624" s="102"/>
      <c r="AC624" s="103"/>
    </row>
    <row r="625" spans="27:29" ht="111.75" customHeight="1">
      <c r="AA625" s="102"/>
      <c r="AB625" s="102"/>
      <c r="AC625" s="103"/>
    </row>
    <row r="626" spans="27:29" ht="111.75" customHeight="1">
      <c r="AA626" s="102"/>
      <c r="AB626" s="102"/>
      <c r="AC626" s="103"/>
    </row>
    <row r="627" spans="27:29" ht="111.75" customHeight="1">
      <c r="AA627" s="102"/>
      <c r="AB627" s="102"/>
      <c r="AC627" s="103"/>
    </row>
    <row r="628" spans="27:29" ht="111.75" customHeight="1">
      <c r="AA628" s="102"/>
      <c r="AB628" s="102"/>
      <c r="AC628" s="103"/>
    </row>
    <row r="629" spans="27:29" ht="111.75" customHeight="1">
      <c r="AA629" s="102"/>
      <c r="AB629" s="102"/>
      <c r="AC629" s="103"/>
    </row>
    <row r="630" spans="27:29" ht="111.75" customHeight="1">
      <c r="AA630" s="102"/>
      <c r="AB630" s="102"/>
      <c r="AC630" s="103"/>
    </row>
    <row r="631" spans="27:29" ht="111.75" customHeight="1">
      <c r="AA631" s="102"/>
      <c r="AB631" s="102"/>
      <c r="AC631" s="103"/>
    </row>
    <row r="632" spans="27:29" ht="111.75" customHeight="1">
      <c r="AA632" s="102"/>
      <c r="AB632" s="102"/>
      <c r="AC632" s="103"/>
    </row>
    <row r="633" spans="27:29" ht="111.75" customHeight="1">
      <c r="AA633" s="102"/>
      <c r="AB633" s="102"/>
      <c r="AC633" s="103"/>
    </row>
    <row r="634" spans="27:29" ht="111.75" customHeight="1">
      <c r="AA634" s="102"/>
      <c r="AB634" s="102"/>
      <c r="AC634" s="103"/>
    </row>
    <row r="635" spans="27:29" ht="111.75" customHeight="1">
      <c r="AA635" s="102"/>
      <c r="AB635" s="102"/>
      <c r="AC635" s="103"/>
    </row>
    <row r="636" spans="27:29" ht="111.75" customHeight="1">
      <c r="AA636" s="102"/>
      <c r="AB636" s="102"/>
      <c r="AC636" s="103"/>
    </row>
    <row r="637" spans="27:29" ht="111.75" customHeight="1">
      <c r="AA637" s="102"/>
      <c r="AB637" s="102"/>
      <c r="AC637" s="103"/>
    </row>
    <row r="638" spans="27:29" ht="111.75" customHeight="1">
      <c r="AA638" s="102"/>
      <c r="AB638" s="102"/>
      <c r="AC638" s="103"/>
    </row>
    <row r="639" spans="27:29" ht="111.75" customHeight="1">
      <c r="AA639" s="102"/>
      <c r="AB639" s="102"/>
      <c r="AC639" s="103"/>
    </row>
    <row r="640" spans="27:29" ht="111.75" customHeight="1">
      <c r="AA640" s="102"/>
      <c r="AB640" s="102"/>
      <c r="AC640" s="103"/>
    </row>
    <row r="641" spans="27:29" ht="111.75" customHeight="1">
      <c r="AA641" s="102"/>
      <c r="AB641" s="102"/>
      <c r="AC641" s="103"/>
    </row>
    <row r="642" spans="27:29" ht="111.75" customHeight="1">
      <c r="AA642" s="102"/>
      <c r="AB642" s="102"/>
      <c r="AC642" s="103"/>
    </row>
    <row r="643" spans="27:29" ht="111.75" customHeight="1">
      <c r="AA643" s="102"/>
      <c r="AB643" s="102"/>
      <c r="AC643" s="103"/>
    </row>
    <row r="644" spans="27:29" ht="111.75" customHeight="1">
      <c r="AA644" s="102"/>
      <c r="AB644" s="102"/>
      <c r="AC644" s="103"/>
    </row>
    <row r="645" spans="27:29" ht="111.75" customHeight="1">
      <c r="AA645" s="102"/>
      <c r="AB645" s="102"/>
      <c r="AC645" s="103"/>
    </row>
    <row r="646" spans="27:29" ht="111.75" customHeight="1">
      <c r="AA646" s="102"/>
      <c r="AB646" s="102"/>
      <c r="AC646" s="103"/>
    </row>
    <row r="647" spans="27:29" ht="111.75" customHeight="1">
      <c r="AA647" s="102"/>
      <c r="AB647" s="102"/>
      <c r="AC647" s="103"/>
    </row>
    <row r="648" spans="27:29" ht="111.75" customHeight="1">
      <c r="AA648" s="102"/>
      <c r="AB648" s="102"/>
      <c r="AC648" s="103"/>
    </row>
    <row r="649" spans="27:29" ht="111.75" customHeight="1">
      <c r="AA649" s="102"/>
      <c r="AB649" s="102"/>
      <c r="AC649" s="103"/>
    </row>
    <row r="650" spans="27:29" ht="111.75" customHeight="1">
      <c r="AA650" s="102"/>
      <c r="AB650" s="102"/>
      <c r="AC650" s="103"/>
    </row>
    <row r="651" spans="27:29" ht="111.75" customHeight="1">
      <c r="AA651" s="102"/>
      <c r="AB651" s="102"/>
      <c r="AC651" s="103"/>
    </row>
    <row r="652" spans="27:29" ht="111.75" customHeight="1">
      <c r="AA652" s="102"/>
      <c r="AB652" s="102"/>
      <c r="AC652" s="103"/>
    </row>
    <row r="653" spans="27:29" ht="111.75" customHeight="1">
      <c r="AA653" s="102"/>
      <c r="AB653" s="102"/>
      <c r="AC653" s="103"/>
    </row>
    <row r="654" spans="27:29" ht="111.75" customHeight="1">
      <c r="AA654" s="102"/>
      <c r="AB654" s="102"/>
      <c r="AC654" s="103"/>
    </row>
    <row r="655" spans="27:29" ht="111.75" customHeight="1">
      <c r="AA655" s="102"/>
      <c r="AB655" s="102"/>
      <c r="AC655" s="103"/>
    </row>
    <row r="656" spans="27:29" ht="111.75" customHeight="1">
      <c r="AA656" s="102"/>
      <c r="AB656" s="102"/>
      <c r="AC656" s="103"/>
    </row>
    <row r="657" spans="27:29" ht="111.75" customHeight="1">
      <c r="AA657" s="102"/>
      <c r="AB657" s="102"/>
      <c r="AC657" s="103"/>
    </row>
    <row r="658" spans="27:29" ht="111.75" customHeight="1">
      <c r="AA658" s="102"/>
      <c r="AB658" s="102"/>
      <c r="AC658" s="103"/>
    </row>
    <row r="659" spans="27:29" ht="111.75" customHeight="1">
      <c r="AA659" s="102"/>
      <c r="AB659" s="102"/>
      <c r="AC659" s="103"/>
    </row>
    <row r="660" spans="27:29" ht="111.75" customHeight="1">
      <c r="AA660" s="102"/>
      <c r="AB660" s="102"/>
      <c r="AC660" s="103"/>
    </row>
    <row r="661" spans="27:29" ht="111.75" customHeight="1">
      <c r="AA661" s="102"/>
      <c r="AB661" s="102"/>
      <c r="AC661" s="103"/>
    </row>
    <row r="662" spans="27:29" ht="111.75" customHeight="1">
      <c r="AA662" s="102"/>
      <c r="AB662" s="102"/>
      <c r="AC662" s="103"/>
    </row>
    <row r="663" spans="27:29" ht="111.75" customHeight="1">
      <c r="AA663" s="102"/>
      <c r="AB663" s="102"/>
      <c r="AC663" s="103"/>
    </row>
    <row r="664" spans="27:29" ht="111.75" customHeight="1">
      <c r="AA664" s="102"/>
      <c r="AB664" s="102"/>
      <c r="AC664" s="103"/>
    </row>
    <row r="665" spans="27:29" ht="111.75" customHeight="1">
      <c r="AA665" s="102"/>
      <c r="AB665" s="102"/>
      <c r="AC665" s="103"/>
    </row>
    <row r="666" spans="27:29" ht="111.75" customHeight="1">
      <c r="AA666" s="102"/>
      <c r="AB666" s="102"/>
      <c r="AC666" s="103"/>
    </row>
    <row r="667" spans="27:29" ht="111.75" customHeight="1">
      <c r="AA667" s="102"/>
      <c r="AB667" s="102"/>
      <c r="AC667" s="103"/>
    </row>
    <row r="668" spans="27:29" ht="111.75" customHeight="1">
      <c r="AA668" s="102"/>
      <c r="AB668" s="102"/>
      <c r="AC668" s="103"/>
    </row>
    <row r="669" spans="27:29" ht="111.75" customHeight="1">
      <c r="AA669" s="102"/>
      <c r="AB669" s="102"/>
      <c r="AC669" s="103"/>
    </row>
    <row r="670" spans="27:29" ht="111.75" customHeight="1">
      <c r="AA670" s="102"/>
      <c r="AB670" s="102"/>
      <c r="AC670" s="103"/>
    </row>
    <row r="671" spans="27:29" ht="111.75" customHeight="1">
      <c r="AA671" s="102"/>
      <c r="AB671" s="102"/>
      <c r="AC671" s="103"/>
    </row>
    <row r="672" spans="27:29" ht="111.75" customHeight="1">
      <c r="AA672" s="102"/>
      <c r="AB672" s="102"/>
      <c r="AC672" s="103"/>
    </row>
    <row r="673" spans="27:29" ht="111.75" customHeight="1">
      <c r="AA673" s="102"/>
      <c r="AB673" s="102"/>
      <c r="AC673" s="103"/>
    </row>
    <row r="674" spans="27:29" ht="111.75" customHeight="1">
      <c r="AA674" s="102"/>
      <c r="AB674" s="102"/>
      <c r="AC674" s="103"/>
    </row>
    <row r="675" spans="27:29" ht="111.75" customHeight="1">
      <c r="AA675" s="102"/>
      <c r="AB675" s="102"/>
      <c r="AC675" s="103"/>
    </row>
    <row r="676" spans="27:29" ht="111.75" customHeight="1">
      <c r="AA676" s="102"/>
      <c r="AB676" s="102"/>
      <c r="AC676" s="103"/>
    </row>
    <row r="677" spans="27:29" ht="111.75" customHeight="1">
      <c r="AA677" s="102"/>
      <c r="AB677" s="102"/>
      <c r="AC677" s="103"/>
    </row>
    <row r="678" spans="27:29" ht="111.75" customHeight="1">
      <c r="AA678" s="102"/>
      <c r="AB678" s="102"/>
      <c r="AC678" s="103"/>
    </row>
    <row r="679" spans="27:29" ht="111.75" customHeight="1">
      <c r="AA679" s="102"/>
      <c r="AB679" s="102"/>
      <c r="AC679" s="103"/>
    </row>
    <row r="680" spans="27:29" ht="111.75" customHeight="1">
      <c r="AA680" s="102"/>
      <c r="AB680" s="102"/>
      <c r="AC680" s="103"/>
    </row>
    <row r="681" spans="27:29" ht="111.75" customHeight="1">
      <c r="AA681" s="102"/>
      <c r="AB681" s="102"/>
      <c r="AC681" s="103"/>
    </row>
    <row r="682" spans="27:29" ht="111.75" customHeight="1">
      <c r="AA682" s="102"/>
      <c r="AB682" s="102"/>
      <c r="AC682" s="103"/>
    </row>
    <row r="683" spans="27:29" ht="111.75" customHeight="1">
      <c r="AA683" s="102"/>
      <c r="AB683" s="102"/>
      <c r="AC683" s="103"/>
    </row>
    <row r="684" spans="27:29" ht="111.75" customHeight="1">
      <c r="AA684" s="102"/>
      <c r="AB684" s="102"/>
      <c r="AC684" s="103"/>
    </row>
    <row r="685" spans="27:29" ht="111.75" customHeight="1">
      <c r="AA685" s="102"/>
      <c r="AB685" s="102"/>
      <c r="AC685" s="103"/>
    </row>
    <row r="686" spans="27:29" ht="111.75" customHeight="1">
      <c r="AA686" s="102"/>
      <c r="AB686" s="102"/>
      <c r="AC686" s="103"/>
    </row>
    <row r="687" spans="27:29" ht="111.75" customHeight="1">
      <c r="AA687" s="102"/>
      <c r="AB687" s="102"/>
      <c r="AC687" s="103"/>
    </row>
    <row r="688" spans="27:29" ht="111.75" customHeight="1">
      <c r="AA688" s="102"/>
      <c r="AB688" s="102"/>
      <c r="AC688" s="103"/>
    </row>
    <row r="689" spans="27:29" ht="111.75" customHeight="1">
      <c r="AA689" s="102"/>
      <c r="AB689" s="102"/>
      <c r="AC689" s="103"/>
    </row>
    <row r="690" spans="27:29" ht="111.75" customHeight="1">
      <c r="AA690" s="102"/>
      <c r="AB690" s="102"/>
      <c r="AC690" s="103"/>
    </row>
    <row r="691" spans="27:29" ht="111.75" customHeight="1">
      <c r="AA691" s="102"/>
      <c r="AB691" s="102"/>
      <c r="AC691" s="103"/>
    </row>
    <row r="692" spans="27:29" ht="111.75" customHeight="1">
      <c r="AA692" s="102"/>
      <c r="AB692" s="102"/>
      <c r="AC692" s="103"/>
    </row>
    <row r="693" spans="27:29" ht="111.75" customHeight="1">
      <c r="AA693" s="102"/>
      <c r="AB693" s="102"/>
      <c r="AC693" s="103"/>
    </row>
    <row r="694" spans="27:29" ht="111.75" customHeight="1">
      <c r="AA694" s="102"/>
      <c r="AB694" s="102"/>
      <c r="AC694" s="103"/>
    </row>
    <row r="695" spans="27:29" ht="111.75" customHeight="1">
      <c r="AA695" s="102"/>
      <c r="AB695" s="102"/>
      <c r="AC695" s="103"/>
    </row>
    <row r="696" spans="27:29" ht="111.75" customHeight="1">
      <c r="AA696" s="102"/>
      <c r="AB696" s="102"/>
      <c r="AC696" s="103"/>
    </row>
    <row r="697" spans="27:29" ht="111.75" customHeight="1">
      <c r="AA697" s="102"/>
      <c r="AB697" s="102"/>
      <c r="AC697" s="103"/>
    </row>
    <row r="698" spans="27:29" ht="111.75" customHeight="1">
      <c r="AA698" s="102"/>
      <c r="AB698" s="102"/>
      <c r="AC698" s="103"/>
    </row>
    <row r="699" spans="27:29" ht="111.75" customHeight="1">
      <c r="AA699" s="102"/>
      <c r="AB699" s="102"/>
      <c r="AC699" s="103"/>
    </row>
    <row r="700" spans="27:29" ht="111.75" customHeight="1">
      <c r="AA700" s="102"/>
      <c r="AB700" s="102"/>
      <c r="AC700" s="103"/>
    </row>
    <row r="701" spans="27:29" ht="111.75" customHeight="1">
      <c r="AA701" s="102"/>
      <c r="AB701" s="102"/>
      <c r="AC701" s="103"/>
    </row>
    <row r="702" spans="27:29" ht="111.75" customHeight="1">
      <c r="AA702" s="102"/>
      <c r="AB702" s="102"/>
      <c r="AC702" s="103"/>
    </row>
    <row r="703" spans="27:29" ht="111.75" customHeight="1">
      <c r="AA703" s="102"/>
      <c r="AB703" s="102"/>
      <c r="AC703" s="103"/>
    </row>
    <row r="704" spans="27:29" ht="111.75" customHeight="1">
      <c r="AA704" s="102"/>
      <c r="AB704" s="102"/>
      <c r="AC704" s="103"/>
    </row>
    <row r="705" spans="27:29" ht="111.75" customHeight="1">
      <c r="AA705" s="102"/>
      <c r="AB705" s="102"/>
      <c r="AC705" s="103"/>
    </row>
    <row r="706" spans="27:29" ht="111.75" customHeight="1">
      <c r="AA706" s="102"/>
      <c r="AB706" s="102"/>
      <c r="AC706" s="103"/>
    </row>
    <row r="707" spans="27:29" ht="111.75" customHeight="1">
      <c r="AA707" s="102"/>
      <c r="AB707" s="102"/>
      <c r="AC707" s="103"/>
    </row>
    <row r="708" spans="27:29" ht="111.75" customHeight="1">
      <c r="AA708" s="102"/>
      <c r="AB708" s="102"/>
      <c r="AC708" s="103"/>
    </row>
    <row r="709" spans="27:29" ht="111.75" customHeight="1">
      <c r="AA709" s="102"/>
      <c r="AB709" s="102"/>
      <c r="AC709" s="103"/>
    </row>
    <row r="710" spans="27:29" ht="111.75" customHeight="1">
      <c r="AA710" s="102"/>
      <c r="AB710" s="102"/>
      <c r="AC710" s="103"/>
    </row>
    <row r="711" spans="27:29" ht="111.75" customHeight="1">
      <c r="AA711" s="102"/>
      <c r="AB711" s="102"/>
      <c r="AC711" s="103"/>
    </row>
    <row r="712" spans="27:29" ht="111.75" customHeight="1">
      <c r="AA712" s="102"/>
      <c r="AB712" s="102"/>
      <c r="AC712" s="103"/>
    </row>
    <row r="713" spans="27:29" ht="111.75" customHeight="1">
      <c r="AA713" s="102"/>
      <c r="AB713" s="102"/>
      <c r="AC713" s="103"/>
    </row>
    <row r="714" spans="27:29" ht="111.75" customHeight="1">
      <c r="AA714" s="102"/>
      <c r="AB714" s="102"/>
      <c r="AC714" s="103"/>
    </row>
    <row r="715" spans="27:29" ht="111.75" customHeight="1">
      <c r="AA715" s="102"/>
      <c r="AB715" s="102"/>
      <c r="AC715" s="103"/>
    </row>
    <row r="716" spans="27:29" ht="111.75" customHeight="1">
      <c r="AA716" s="102"/>
      <c r="AB716" s="102"/>
      <c r="AC716" s="103"/>
    </row>
    <row r="717" spans="27:29" ht="111.75" customHeight="1">
      <c r="AA717" s="102"/>
      <c r="AB717" s="102"/>
      <c r="AC717" s="103"/>
    </row>
    <row r="718" spans="27:29" ht="111.75" customHeight="1">
      <c r="AA718" s="102"/>
      <c r="AB718" s="102"/>
      <c r="AC718" s="103"/>
    </row>
    <row r="719" spans="27:29" ht="111.75" customHeight="1">
      <c r="AA719" s="102"/>
      <c r="AB719" s="102"/>
      <c r="AC719" s="103"/>
    </row>
    <row r="720" spans="27:29" ht="111.75" customHeight="1">
      <c r="AA720" s="102"/>
      <c r="AB720" s="102"/>
      <c r="AC720" s="103"/>
    </row>
    <row r="721" spans="27:29" ht="111.75" customHeight="1">
      <c r="AA721" s="102"/>
      <c r="AB721" s="102"/>
      <c r="AC721" s="103"/>
    </row>
    <row r="722" spans="27:29" ht="111.75" customHeight="1">
      <c r="AA722" s="102"/>
      <c r="AB722" s="102"/>
      <c r="AC722" s="103"/>
    </row>
    <row r="723" spans="27:29" ht="111.75" customHeight="1">
      <c r="AA723" s="102"/>
      <c r="AB723" s="102"/>
      <c r="AC723" s="103"/>
    </row>
    <row r="724" spans="27:29" ht="111.75" customHeight="1">
      <c r="AA724" s="102"/>
      <c r="AB724" s="102"/>
      <c r="AC724" s="103"/>
    </row>
    <row r="725" spans="27:29" ht="111.75" customHeight="1">
      <c r="AA725" s="102"/>
      <c r="AB725" s="102"/>
      <c r="AC725" s="103"/>
    </row>
    <row r="726" spans="27:29" ht="111.75" customHeight="1">
      <c r="AA726" s="102"/>
      <c r="AB726" s="102"/>
      <c r="AC726" s="103"/>
    </row>
    <row r="727" spans="27:29" ht="111.75" customHeight="1">
      <c r="AA727" s="102"/>
      <c r="AB727" s="102"/>
      <c r="AC727" s="103"/>
    </row>
    <row r="728" spans="27:29" ht="111.75" customHeight="1">
      <c r="AA728" s="102"/>
      <c r="AB728" s="102"/>
      <c r="AC728" s="103"/>
    </row>
    <row r="729" spans="27:29" ht="111.75" customHeight="1">
      <c r="AA729" s="102"/>
      <c r="AB729" s="102"/>
      <c r="AC729" s="103"/>
    </row>
    <row r="730" spans="27:29" ht="111.75" customHeight="1">
      <c r="AA730" s="102"/>
      <c r="AB730" s="102"/>
      <c r="AC730" s="103"/>
    </row>
    <row r="731" spans="27:29" ht="111.75" customHeight="1">
      <c r="AA731" s="102"/>
      <c r="AB731" s="102"/>
      <c r="AC731" s="103"/>
    </row>
    <row r="732" spans="27:29" ht="111.75" customHeight="1">
      <c r="AA732" s="102"/>
      <c r="AB732" s="102"/>
      <c r="AC732" s="103"/>
    </row>
    <row r="733" spans="27:29" ht="111.75" customHeight="1">
      <c r="AA733" s="102"/>
      <c r="AB733" s="102"/>
      <c r="AC733" s="103"/>
    </row>
    <row r="734" spans="27:29" ht="111.75" customHeight="1">
      <c r="AA734" s="102"/>
      <c r="AB734" s="102"/>
      <c r="AC734" s="103"/>
    </row>
    <row r="735" spans="27:29" ht="111.75" customHeight="1">
      <c r="AA735" s="102"/>
      <c r="AB735" s="102"/>
      <c r="AC735" s="103"/>
    </row>
    <row r="736" spans="27:29" ht="111.75" customHeight="1">
      <c r="AA736" s="102"/>
      <c r="AB736" s="102"/>
      <c r="AC736" s="103"/>
    </row>
    <row r="737" spans="27:29" ht="111.75" customHeight="1">
      <c r="AA737" s="102"/>
      <c r="AB737" s="102"/>
      <c r="AC737" s="103"/>
    </row>
    <row r="738" spans="27:29" ht="111.75" customHeight="1">
      <c r="AA738" s="102"/>
      <c r="AB738" s="102"/>
      <c r="AC738" s="103"/>
    </row>
    <row r="739" spans="27:29" ht="111.75" customHeight="1">
      <c r="AA739" s="102"/>
      <c r="AB739" s="102"/>
      <c r="AC739" s="103"/>
    </row>
    <row r="740" spans="27:29" ht="111.75" customHeight="1">
      <c r="AA740" s="102"/>
      <c r="AB740" s="102"/>
      <c r="AC740" s="103"/>
    </row>
    <row r="741" spans="27:29" ht="111.75" customHeight="1">
      <c r="AA741" s="102"/>
      <c r="AB741" s="102"/>
      <c r="AC741" s="103"/>
    </row>
    <row r="742" spans="27:29" ht="111.75" customHeight="1">
      <c r="AA742" s="102"/>
      <c r="AB742" s="102"/>
      <c r="AC742" s="103"/>
    </row>
    <row r="743" spans="27:29" ht="111.75" customHeight="1">
      <c r="AA743" s="102"/>
      <c r="AB743" s="102"/>
      <c r="AC743" s="103"/>
    </row>
    <row r="744" spans="27:29" ht="111.75" customHeight="1">
      <c r="AA744" s="102"/>
      <c r="AB744" s="102"/>
      <c r="AC744" s="103"/>
    </row>
    <row r="745" spans="27:29" ht="111.75" customHeight="1">
      <c r="AA745" s="102"/>
      <c r="AB745" s="102"/>
      <c r="AC745" s="103"/>
    </row>
    <row r="746" spans="27:29" ht="111.75" customHeight="1">
      <c r="AA746" s="102"/>
      <c r="AB746" s="102"/>
      <c r="AC746" s="103"/>
    </row>
    <row r="747" spans="27:29" ht="111.75" customHeight="1">
      <c r="AA747" s="102"/>
      <c r="AB747" s="102"/>
      <c r="AC747" s="103"/>
    </row>
    <row r="748" spans="27:29" ht="111.75" customHeight="1">
      <c r="AA748" s="102"/>
      <c r="AB748" s="102"/>
      <c r="AC748" s="103"/>
    </row>
    <row r="749" spans="27:29" ht="111.75" customHeight="1">
      <c r="AA749" s="102"/>
      <c r="AB749" s="102"/>
      <c r="AC749" s="103"/>
    </row>
    <row r="750" spans="27:29" ht="111.75" customHeight="1">
      <c r="AA750" s="102"/>
      <c r="AB750" s="102"/>
      <c r="AC750" s="103"/>
    </row>
    <row r="751" spans="27:29" ht="111.75" customHeight="1">
      <c r="AA751" s="102"/>
      <c r="AB751" s="102"/>
      <c r="AC751" s="103"/>
    </row>
    <row r="752" spans="27:29" ht="111.75" customHeight="1">
      <c r="AA752" s="102"/>
      <c r="AB752" s="102"/>
      <c r="AC752" s="103"/>
    </row>
    <row r="753" spans="27:29" ht="111.75" customHeight="1">
      <c r="AA753" s="102"/>
      <c r="AB753" s="102"/>
      <c r="AC753" s="103"/>
    </row>
    <row r="754" spans="27:29" ht="111.75" customHeight="1">
      <c r="AA754" s="102"/>
      <c r="AB754" s="102"/>
      <c r="AC754" s="103"/>
    </row>
    <row r="755" spans="27:29" ht="111.75" customHeight="1">
      <c r="AA755" s="102"/>
      <c r="AB755" s="102"/>
      <c r="AC755" s="103"/>
    </row>
    <row r="756" spans="27:29" ht="111.75" customHeight="1">
      <c r="AA756" s="102"/>
      <c r="AB756" s="102"/>
      <c r="AC756" s="103"/>
    </row>
    <row r="757" spans="27:29" ht="111.75" customHeight="1">
      <c r="AA757" s="102"/>
      <c r="AB757" s="102"/>
      <c r="AC757" s="103"/>
    </row>
    <row r="758" spans="27:29" ht="111.75" customHeight="1">
      <c r="AA758" s="102"/>
      <c r="AB758" s="102"/>
      <c r="AC758" s="103"/>
    </row>
    <row r="759" spans="27:29" ht="111.75" customHeight="1">
      <c r="AA759" s="102"/>
      <c r="AB759" s="102"/>
      <c r="AC759" s="103"/>
    </row>
    <row r="760" spans="27:29" ht="111.75" customHeight="1">
      <c r="AA760" s="102"/>
      <c r="AB760" s="102"/>
      <c r="AC760" s="103"/>
    </row>
    <row r="761" spans="27:29" ht="111.75" customHeight="1">
      <c r="AA761" s="102"/>
      <c r="AB761" s="102"/>
      <c r="AC761" s="103"/>
    </row>
    <row r="762" spans="27:29" ht="111.75" customHeight="1">
      <c r="AA762" s="102"/>
      <c r="AB762" s="102"/>
      <c r="AC762" s="103"/>
    </row>
    <row r="763" spans="27:29" ht="111.75" customHeight="1">
      <c r="AA763" s="102"/>
      <c r="AB763" s="102"/>
      <c r="AC763" s="103"/>
    </row>
    <row r="764" spans="27:29" ht="111.75" customHeight="1">
      <c r="AA764" s="102"/>
      <c r="AB764" s="102"/>
      <c r="AC764" s="103"/>
    </row>
    <row r="765" spans="27:29" ht="111.75" customHeight="1">
      <c r="AA765" s="102"/>
      <c r="AB765" s="102"/>
      <c r="AC765" s="103"/>
    </row>
    <row r="766" spans="27:29" ht="111.75" customHeight="1">
      <c r="AA766" s="102"/>
      <c r="AB766" s="102"/>
      <c r="AC766" s="103"/>
    </row>
    <row r="767" spans="27:29" ht="111.75" customHeight="1">
      <c r="AA767" s="102"/>
      <c r="AB767" s="102"/>
      <c r="AC767" s="103"/>
    </row>
    <row r="768" spans="27:29" ht="111.75" customHeight="1">
      <c r="AA768" s="102"/>
      <c r="AB768" s="102"/>
      <c r="AC768" s="103"/>
    </row>
    <row r="769" spans="27:29" ht="111.75" customHeight="1">
      <c r="AA769" s="102"/>
      <c r="AB769" s="102"/>
      <c r="AC769" s="103"/>
    </row>
    <row r="770" spans="27:29" ht="111.75" customHeight="1">
      <c r="AA770" s="102"/>
      <c r="AB770" s="102"/>
      <c r="AC770" s="103"/>
    </row>
    <row r="771" spans="27:29" ht="111.75" customHeight="1">
      <c r="AA771" s="102"/>
      <c r="AB771" s="102"/>
      <c r="AC771" s="103"/>
    </row>
    <row r="772" spans="27:29" ht="111.75" customHeight="1">
      <c r="AA772" s="102"/>
      <c r="AB772" s="102"/>
      <c r="AC772" s="103"/>
    </row>
    <row r="773" spans="27:29" ht="111.75" customHeight="1">
      <c r="AA773" s="102"/>
      <c r="AB773" s="102"/>
      <c r="AC773" s="103"/>
    </row>
    <row r="774" spans="27:29" ht="111.75" customHeight="1">
      <c r="AA774" s="102"/>
      <c r="AB774" s="102"/>
      <c r="AC774" s="103"/>
    </row>
    <row r="775" spans="27:29" ht="111.75" customHeight="1">
      <c r="AA775" s="102"/>
      <c r="AB775" s="102"/>
      <c r="AC775" s="103"/>
    </row>
    <row r="776" spans="27:29" ht="111.75" customHeight="1">
      <c r="AA776" s="102"/>
      <c r="AB776" s="102"/>
      <c r="AC776" s="103"/>
    </row>
    <row r="777" spans="27:29" ht="111.75" customHeight="1">
      <c r="AA777" s="102"/>
      <c r="AB777" s="102"/>
      <c r="AC777" s="103"/>
    </row>
    <row r="778" spans="27:29" ht="111.75" customHeight="1">
      <c r="AA778" s="102"/>
      <c r="AB778" s="102"/>
      <c r="AC778" s="103"/>
    </row>
    <row r="779" spans="27:29" ht="111.75" customHeight="1">
      <c r="AA779" s="102"/>
      <c r="AB779" s="102"/>
      <c r="AC779" s="103"/>
    </row>
    <row r="780" spans="27:29" ht="111.75" customHeight="1">
      <c r="AA780" s="102"/>
      <c r="AB780" s="102"/>
      <c r="AC780" s="103"/>
    </row>
    <row r="781" spans="27:29" ht="111.75" customHeight="1">
      <c r="AA781" s="102"/>
      <c r="AB781" s="102"/>
      <c r="AC781" s="103"/>
    </row>
    <row r="782" spans="27:29" ht="111.75" customHeight="1">
      <c r="AA782" s="102"/>
      <c r="AB782" s="102"/>
      <c r="AC782" s="103"/>
    </row>
    <row r="783" spans="27:29" ht="111.75" customHeight="1">
      <c r="AA783" s="102"/>
      <c r="AB783" s="102"/>
      <c r="AC783" s="103"/>
    </row>
    <row r="784" spans="27:29" ht="111.75" customHeight="1">
      <c r="AA784" s="102"/>
      <c r="AB784" s="102"/>
      <c r="AC784" s="103"/>
    </row>
    <row r="785" spans="27:29" ht="111.75" customHeight="1">
      <c r="AA785" s="102"/>
      <c r="AB785" s="102"/>
      <c r="AC785" s="103"/>
    </row>
    <row r="786" spans="27:29" ht="111.75" customHeight="1">
      <c r="AA786" s="102"/>
      <c r="AB786" s="102"/>
      <c r="AC786" s="103"/>
    </row>
    <row r="787" spans="27:29" ht="111.75" customHeight="1">
      <c r="AA787" s="102"/>
      <c r="AB787" s="102"/>
      <c r="AC787" s="103"/>
    </row>
    <row r="788" spans="27:29" ht="111.75" customHeight="1">
      <c r="AA788" s="102"/>
      <c r="AB788" s="102"/>
      <c r="AC788" s="103"/>
    </row>
    <row r="789" spans="27:29" ht="111.75" customHeight="1">
      <c r="AA789" s="102"/>
      <c r="AB789" s="102"/>
      <c r="AC789" s="103"/>
    </row>
    <row r="790" spans="27:29" ht="111.75" customHeight="1">
      <c r="AA790" s="102"/>
      <c r="AB790" s="102"/>
      <c r="AC790" s="103"/>
    </row>
    <row r="791" spans="27:29" ht="111.75" customHeight="1">
      <c r="AA791" s="102"/>
      <c r="AB791" s="102"/>
      <c r="AC791" s="103"/>
    </row>
    <row r="792" spans="27:29" ht="111.75" customHeight="1">
      <c r="AA792" s="102"/>
      <c r="AB792" s="102"/>
      <c r="AC792" s="103"/>
    </row>
    <row r="793" spans="27:29" ht="111.75" customHeight="1">
      <c r="AA793" s="102"/>
      <c r="AB793" s="102"/>
      <c r="AC793" s="103"/>
    </row>
    <row r="794" spans="27:29" ht="111.75" customHeight="1">
      <c r="AA794" s="102"/>
      <c r="AB794" s="102"/>
      <c r="AC794" s="103"/>
    </row>
    <row r="795" spans="27:29" ht="111.75" customHeight="1">
      <c r="AA795" s="102"/>
      <c r="AB795" s="102"/>
      <c r="AC795" s="103"/>
    </row>
    <row r="796" spans="27:29" ht="111.75" customHeight="1">
      <c r="AA796" s="102"/>
      <c r="AB796" s="102"/>
      <c r="AC796" s="103"/>
    </row>
    <row r="797" spans="27:29" ht="111.75" customHeight="1">
      <c r="AA797" s="102"/>
      <c r="AB797" s="102"/>
      <c r="AC797" s="103"/>
    </row>
    <row r="798" spans="27:29" ht="111.75" customHeight="1">
      <c r="AA798" s="102"/>
      <c r="AB798" s="102"/>
      <c r="AC798" s="103"/>
    </row>
    <row r="799" spans="27:29" ht="111.75" customHeight="1">
      <c r="AA799" s="102"/>
      <c r="AB799" s="102"/>
      <c r="AC799" s="103"/>
    </row>
    <row r="800" spans="27:29" ht="111.75" customHeight="1">
      <c r="AA800" s="102"/>
      <c r="AB800" s="102"/>
      <c r="AC800" s="103"/>
    </row>
    <row r="801" spans="27:29" ht="111.75" customHeight="1">
      <c r="AA801" s="102"/>
      <c r="AB801" s="102"/>
      <c r="AC801" s="103"/>
    </row>
    <row r="802" spans="27:29" ht="111.75" customHeight="1">
      <c r="AA802" s="102"/>
      <c r="AB802" s="102"/>
      <c r="AC802" s="103"/>
    </row>
    <row r="803" spans="27:29" ht="111.75" customHeight="1">
      <c r="AA803" s="102"/>
      <c r="AB803" s="102"/>
      <c r="AC803" s="103"/>
    </row>
    <row r="804" spans="27:29" ht="111.75" customHeight="1">
      <c r="AA804" s="102"/>
      <c r="AB804" s="102"/>
      <c r="AC804" s="103"/>
    </row>
    <row r="805" spans="27:29" ht="111.75" customHeight="1">
      <c r="AA805" s="102"/>
      <c r="AB805" s="102"/>
      <c r="AC805" s="103"/>
    </row>
    <row r="806" spans="27:29" ht="111.75" customHeight="1">
      <c r="AA806" s="102"/>
      <c r="AB806" s="102"/>
      <c r="AC806" s="103"/>
    </row>
    <row r="807" spans="27:29" ht="111.75" customHeight="1">
      <c r="AA807" s="102"/>
      <c r="AB807" s="102"/>
      <c r="AC807" s="103"/>
    </row>
    <row r="808" spans="27:29" ht="111.75" customHeight="1">
      <c r="AA808" s="102"/>
      <c r="AB808" s="102"/>
      <c r="AC808" s="103"/>
    </row>
    <row r="809" spans="27:29" ht="111.75" customHeight="1">
      <c r="AA809" s="102"/>
      <c r="AB809" s="102"/>
      <c r="AC809" s="103"/>
    </row>
    <row r="810" spans="27:29" ht="111.75" customHeight="1">
      <c r="AA810" s="102"/>
      <c r="AB810" s="102"/>
      <c r="AC810" s="103"/>
    </row>
    <row r="811" spans="27:29" ht="111.75" customHeight="1">
      <c r="AA811" s="102"/>
      <c r="AB811" s="102"/>
      <c r="AC811" s="103"/>
    </row>
    <row r="812" spans="27:29" ht="111.75" customHeight="1">
      <c r="AA812" s="102"/>
      <c r="AB812" s="102"/>
      <c r="AC812" s="103"/>
    </row>
    <row r="813" spans="27:29" ht="111.75" customHeight="1">
      <c r="AA813" s="102"/>
      <c r="AB813" s="102"/>
      <c r="AC813" s="103"/>
    </row>
    <row r="814" spans="27:29" ht="111.75" customHeight="1">
      <c r="AA814" s="102"/>
      <c r="AB814" s="102"/>
      <c r="AC814" s="103"/>
    </row>
    <row r="815" spans="27:29" ht="111.75" customHeight="1">
      <c r="AA815" s="102"/>
      <c r="AB815" s="102"/>
      <c r="AC815" s="103"/>
    </row>
    <row r="816" spans="27:29" ht="111.75" customHeight="1">
      <c r="AA816" s="102"/>
      <c r="AB816" s="102"/>
      <c r="AC816" s="103"/>
    </row>
    <row r="817" spans="27:29" ht="111.75" customHeight="1">
      <c r="AA817" s="102"/>
      <c r="AB817" s="102"/>
      <c r="AC817" s="103"/>
    </row>
    <row r="818" spans="27:29" ht="111.75" customHeight="1">
      <c r="AA818" s="102"/>
      <c r="AB818" s="102"/>
      <c r="AC818" s="103"/>
    </row>
    <row r="819" spans="27:29" ht="111.75" customHeight="1">
      <c r="AA819" s="102"/>
      <c r="AB819" s="102"/>
      <c r="AC819" s="103"/>
    </row>
    <row r="820" spans="27:29" ht="111.75" customHeight="1">
      <c r="AA820" s="102"/>
      <c r="AB820" s="102"/>
      <c r="AC820" s="103"/>
    </row>
    <row r="821" spans="27:29" ht="111.75" customHeight="1">
      <c r="AA821" s="102"/>
      <c r="AB821" s="102"/>
      <c r="AC821" s="103"/>
    </row>
    <row r="822" spans="27:29" ht="111.75" customHeight="1">
      <c r="AA822" s="102"/>
      <c r="AB822" s="102"/>
      <c r="AC822" s="103"/>
    </row>
    <row r="823" spans="27:29" ht="111.75" customHeight="1">
      <c r="AA823" s="102"/>
      <c r="AB823" s="102"/>
      <c r="AC823" s="103"/>
    </row>
    <row r="824" spans="27:29" ht="111.75" customHeight="1">
      <c r="AA824" s="102"/>
      <c r="AB824" s="102"/>
      <c r="AC824" s="103"/>
    </row>
    <row r="825" spans="27:29" ht="111.75" customHeight="1">
      <c r="AA825" s="102"/>
      <c r="AB825" s="102"/>
      <c r="AC825" s="103"/>
    </row>
    <row r="826" spans="27:29" ht="111.75" customHeight="1">
      <c r="AA826" s="102"/>
      <c r="AB826" s="102"/>
      <c r="AC826" s="103"/>
    </row>
    <row r="827" spans="27:29" ht="111.75" customHeight="1">
      <c r="AA827" s="102"/>
      <c r="AB827" s="102"/>
      <c r="AC827" s="103"/>
    </row>
    <row r="828" spans="27:29" ht="111.75" customHeight="1">
      <c r="AA828" s="102"/>
      <c r="AB828" s="102"/>
      <c r="AC828" s="103"/>
    </row>
    <row r="829" spans="27:29" ht="111.75" customHeight="1">
      <c r="AA829" s="102"/>
      <c r="AB829" s="102"/>
      <c r="AC829" s="103"/>
    </row>
    <row r="830" spans="27:29" ht="111.75" customHeight="1">
      <c r="AA830" s="102"/>
      <c r="AB830" s="102"/>
      <c r="AC830" s="103"/>
    </row>
    <row r="831" spans="27:29" ht="111.75" customHeight="1">
      <c r="AA831" s="102"/>
      <c r="AB831" s="102"/>
      <c r="AC831" s="103"/>
    </row>
    <row r="832" spans="27:29" ht="111.75" customHeight="1">
      <c r="AA832" s="102"/>
      <c r="AB832" s="102"/>
      <c r="AC832" s="103"/>
    </row>
    <row r="833" spans="27:29" ht="111.75" customHeight="1">
      <c r="AA833" s="102"/>
      <c r="AB833" s="102"/>
      <c r="AC833" s="103"/>
    </row>
    <row r="834" spans="27:29" ht="111.75" customHeight="1">
      <c r="AA834" s="102"/>
      <c r="AB834" s="102"/>
      <c r="AC834" s="103"/>
    </row>
    <row r="835" spans="27:29" ht="111.75" customHeight="1">
      <c r="AA835" s="102"/>
      <c r="AB835" s="102"/>
      <c r="AC835" s="103"/>
    </row>
    <row r="836" spans="27:29" ht="111.75" customHeight="1">
      <c r="AA836" s="102"/>
      <c r="AB836" s="102"/>
      <c r="AC836" s="103"/>
    </row>
    <row r="837" spans="27:29" ht="111.75" customHeight="1">
      <c r="AA837" s="102"/>
      <c r="AB837" s="102"/>
      <c r="AC837" s="103"/>
    </row>
    <row r="838" spans="27:29" ht="111.75" customHeight="1">
      <c r="AA838" s="102"/>
      <c r="AB838" s="102"/>
      <c r="AC838" s="103"/>
    </row>
    <row r="839" spans="27:29" ht="111.75" customHeight="1">
      <c r="AA839" s="102"/>
      <c r="AB839" s="102"/>
      <c r="AC839" s="103"/>
    </row>
    <row r="840" spans="27:29" ht="111.75" customHeight="1">
      <c r="AA840" s="102"/>
      <c r="AB840" s="102"/>
      <c r="AC840" s="103"/>
    </row>
    <row r="841" spans="27:29" ht="111.75" customHeight="1">
      <c r="AA841" s="102"/>
      <c r="AB841" s="102"/>
      <c r="AC841" s="103"/>
    </row>
    <row r="842" spans="27:29" ht="111.75" customHeight="1">
      <c r="AA842" s="102"/>
      <c r="AB842" s="102"/>
      <c r="AC842" s="103"/>
    </row>
    <row r="843" spans="27:29" ht="111.75" customHeight="1">
      <c r="AA843" s="102"/>
      <c r="AB843" s="102"/>
      <c r="AC843" s="103"/>
    </row>
    <row r="844" spans="27:29" ht="111.75" customHeight="1">
      <c r="AA844" s="102"/>
      <c r="AB844" s="102"/>
      <c r="AC844" s="103"/>
    </row>
    <row r="845" spans="27:29" ht="111.75" customHeight="1">
      <c r="AA845" s="102"/>
      <c r="AB845" s="102"/>
      <c r="AC845" s="103"/>
    </row>
    <row r="846" spans="27:29" ht="111.75" customHeight="1">
      <c r="AA846" s="102"/>
      <c r="AB846" s="102"/>
      <c r="AC846" s="103"/>
    </row>
    <row r="847" spans="27:29" ht="111.75" customHeight="1">
      <c r="AA847" s="102"/>
      <c r="AB847" s="102"/>
      <c r="AC847" s="103"/>
    </row>
    <row r="848" spans="27:29" ht="111.75" customHeight="1">
      <c r="AA848" s="102"/>
      <c r="AB848" s="102"/>
      <c r="AC848" s="103"/>
    </row>
    <row r="849" spans="27:29" ht="111.75" customHeight="1">
      <c r="AA849" s="102"/>
      <c r="AB849" s="102"/>
      <c r="AC849" s="103"/>
    </row>
    <row r="850" spans="27:29" ht="111.75" customHeight="1">
      <c r="AA850" s="102"/>
      <c r="AB850" s="102"/>
      <c r="AC850" s="103"/>
    </row>
    <row r="851" spans="27:29" ht="111.75" customHeight="1">
      <c r="AA851" s="102"/>
      <c r="AB851" s="102"/>
      <c r="AC851" s="103"/>
    </row>
    <row r="852" spans="27:29" ht="111.75" customHeight="1">
      <c r="AA852" s="102"/>
      <c r="AB852" s="102"/>
      <c r="AC852" s="103"/>
    </row>
    <row r="853" spans="27:29" ht="111.75" customHeight="1">
      <c r="AA853" s="102"/>
      <c r="AB853" s="102"/>
      <c r="AC853" s="103"/>
    </row>
    <row r="854" spans="27:29" ht="111.75" customHeight="1">
      <c r="AA854" s="102"/>
      <c r="AB854" s="102"/>
      <c r="AC854" s="103"/>
    </row>
    <row r="855" spans="27:29" ht="111.75" customHeight="1">
      <c r="AA855" s="102"/>
      <c r="AB855" s="102"/>
      <c r="AC855" s="103"/>
    </row>
    <row r="856" spans="27:29" ht="111.75" customHeight="1">
      <c r="AA856" s="102"/>
      <c r="AB856" s="102"/>
      <c r="AC856" s="103"/>
    </row>
    <row r="857" spans="27:29" ht="111.75" customHeight="1">
      <c r="AA857" s="102"/>
      <c r="AB857" s="102"/>
      <c r="AC857" s="103"/>
    </row>
    <row r="858" spans="27:29" ht="111.75" customHeight="1">
      <c r="AA858" s="102"/>
      <c r="AB858" s="102"/>
      <c r="AC858" s="103"/>
    </row>
    <row r="859" spans="27:29" ht="111.75" customHeight="1">
      <c r="AA859" s="102"/>
      <c r="AB859" s="102"/>
      <c r="AC859" s="103"/>
    </row>
    <row r="860" spans="27:29" ht="111.75" customHeight="1">
      <c r="AA860" s="102"/>
      <c r="AB860" s="102"/>
      <c r="AC860" s="103"/>
    </row>
    <row r="861" spans="27:29" ht="111.75" customHeight="1">
      <c r="AA861" s="102"/>
      <c r="AB861" s="102"/>
      <c r="AC861" s="103"/>
    </row>
    <row r="862" spans="27:29" ht="111.75" customHeight="1">
      <c r="AA862" s="102"/>
      <c r="AB862" s="102"/>
      <c r="AC862" s="103"/>
    </row>
    <row r="863" spans="27:29" ht="111.75" customHeight="1">
      <c r="AA863" s="102"/>
      <c r="AB863" s="102"/>
      <c r="AC863" s="103"/>
    </row>
    <row r="864" spans="27:29" ht="111.75" customHeight="1">
      <c r="AA864" s="102"/>
      <c r="AB864" s="102"/>
      <c r="AC864" s="103"/>
    </row>
    <row r="865" spans="27:29" ht="111.75" customHeight="1">
      <c r="AA865" s="102"/>
      <c r="AB865" s="102"/>
      <c r="AC865" s="103"/>
    </row>
    <row r="866" spans="27:29" ht="111.75" customHeight="1">
      <c r="AA866" s="102"/>
      <c r="AB866" s="102"/>
      <c r="AC866" s="103"/>
    </row>
    <row r="867" spans="27:29" ht="111.75" customHeight="1">
      <c r="AA867" s="102"/>
      <c r="AB867" s="102"/>
      <c r="AC867" s="103"/>
    </row>
    <row r="868" spans="27:29" ht="111.75" customHeight="1">
      <c r="AA868" s="102"/>
      <c r="AB868" s="102"/>
      <c r="AC868" s="103"/>
    </row>
    <row r="869" spans="27:29" ht="111.75" customHeight="1">
      <c r="AA869" s="102"/>
      <c r="AB869" s="102"/>
      <c r="AC869" s="103"/>
    </row>
    <row r="870" spans="27:29" ht="111.75" customHeight="1">
      <c r="AA870" s="102"/>
      <c r="AB870" s="102"/>
      <c r="AC870" s="103"/>
    </row>
    <row r="871" spans="27:29" ht="111.75" customHeight="1">
      <c r="AA871" s="102"/>
      <c r="AB871" s="102"/>
      <c r="AC871" s="103"/>
    </row>
    <row r="872" spans="27:29" ht="111.75" customHeight="1">
      <c r="AA872" s="102"/>
      <c r="AB872" s="102"/>
      <c r="AC872" s="103"/>
    </row>
    <row r="873" spans="27:29" ht="111.75" customHeight="1">
      <c r="AA873" s="102"/>
      <c r="AB873" s="102"/>
      <c r="AC873" s="103"/>
    </row>
    <row r="874" spans="27:29" ht="111.75" customHeight="1">
      <c r="AA874" s="102"/>
      <c r="AB874" s="102"/>
      <c r="AC874" s="103"/>
    </row>
    <row r="875" spans="27:29" ht="111.75" customHeight="1">
      <c r="AA875" s="102"/>
      <c r="AB875" s="102"/>
      <c r="AC875" s="103"/>
    </row>
    <row r="876" spans="27:29" ht="111.75" customHeight="1">
      <c r="AA876" s="102"/>
      <c r="AB876" s="102"/>
      <c r="AC876" s="103"/>
    </row>
    <row r="877" spans="27:29" ht="111.75" customHeight="1">
      <c r="AA877" s="102"/>
      <c r="AB877" s="102"/>
      <c r="AC877" s="103"/>
    </row>
    <row r="878" spans="27:29" ht="111.75" customHeight="1">
      <c r="AA878" s="102"/>
      <c r="AB878" s="102"/>
      <c r="AC878" s="103"/>
    </row>
    <row r="879" spans="27:29" ht="111.75" customHeight="1">
      <c r="AA879" s="102"/>
      <c r="AB879" s="102"/>
      <c r="AC879" s="103"/>
    </row>
    <row r="880" spans="27:29" ht="111.75" customHeight="1">
      <c r="AA880" s="102"/>
      <c r="AB880" s="102"/>
      <c r="AC880" s="103"/>
    </row>
    <row r="881" spans="27:29" ht="111.75" customHeight="1">
      <c r="AA881" s="102"/>
      <c r="AB881" s="102"/>
      <c r="AC881" s="103"/>
    </row>
    <row r="882" spans="27:29" ht="111.75" customHeight="1">
      <c r="AA882" s="102"/>
      <c r="AB882" s="102"/>
      <c r="AC882" s="103"/>
    </row>
    <row r="883" spans="27:29" ht="111.75" customHeight="1">
      <c r="AA883" s="102"/>
      <c r="AB883" s="102"/>
      <c r="AC883" s="103"/>
    </row>
    <row r="884" spans="27:29" ht="111.75" customHeight="1">
      <c r="AA884" s="102"/>
      <c r="AB884" s="102"/>
      <c r="AC884" s="103"/>
    </row>
    <row r="885" spans="27:29" ht="111.75" customHeight="1">
      <c r="AA885" s="102"/>
      <c r="AB885" s="102"/>
      <c r="AC885" s="103"/>
    </row>
    <row r="886" spans="27:29" ht="111.75" customHeight="1">
      <c r="AA886" s="102"/>
      <c r="AB886" s="102"/>
      <c r="AC886" s="103"/>
    </row>
    <row r="887" spans="27:29" ht="111.75" customHeight="1">
      <c r="AA887" s="102"/>
      <c r="AB887" s="102"/>
      <c r="AC887" s="103"/>
    </row>
    <row r="888" spans="27:29" ht="111.75" customHeight="1">
      <c r="AA888" s="102"/>
      <c r="AB888" s="102"/>
      <c r="AC888" s="103"/>
    </row>
    <row r="889" spans="27:29" ht="111.75" customHeight="1">
      <c r="AA889" s="102"/>
      <c r="AB889" s="102"/>
      <c r="AC889" s="103"/>
    </row>
    <row r="890" spans="27:29" ht="111.75" customHeight="1">
      <c r="AA890" s="102"/>
      <c r="AB890" s="102"/>
      <c r="AC890" s="103"/>
    </row>
    <row r="891" spans="27:29" ht="111.75" customHeight="1">
      <c r="AA891" s="102"/>
      <c r="AB891" s="102"/>
      <c r="AC891" s="103"/>
    </row>
    <row r="892" spans="27:29" ht="111.75" customHeight="1">
      <c r="AA892" s="102"/>
      <c r="AB892" s="102"/>
      <c r="AC892" s="103"/>
    </row>
    <row r="893" spans="27:29" ht="111.75" customHeight="1">
      <c r="AA893" s="102"/>
      <c r="AB893" s="102"/>
      <c r="AC893" s="103"/>
    </row>
    <row r="894" spans="27:29" ht="111.75" customHeight="1">
      <c r="AA894" s="102"/>
      <c r="AB894" s="102"/>
      <c r="AC894" s="103"/>
    </row>
    <row r="895" spans="27:29" ht="111.75" customHeight="1">
      <c r="AA895" s="102"/>
      <c r="AB895" s="102"/>
      <c r="AC895" s="103"/>
    </row>
    <row r="896" spans="27:29" ht="111.75" customHeight="1">
      <c r="AA896" s="102"/>
      <c r="AB896" s="102"/>
      <c r="AC896" s="103"/>
    </row>
    <row r="897" spans="27:29" ht="111.75" customHeight="1">
      <c r="AA897" s="102"/>
      <c r="AB897" s="102"/>
      <c r="AC897" s="103"/>
    </row>
    <row r="898" spans="27:29" ht="111.75" customHeight="1">
      <c r="AA898" s="102"/>
      <c r="AB898" s="102"/>
      <c r="AC898" s="103"/>
    </row>
    <row r="899" spans="27:29" ht="111.75" customHeight="1">
      <c r="AA899" s="102"/>
      <c r="AB899" s="102"/>
      <c r="AC899" s="103"/>
    </row>
    <row r="900" spans="27:29" ht="111.75" customHeight="1">
      <c r="AA900" s="102"/>
      <c r="AB900" s="102"/>
      <c r="AC900" s="103"/>
    </row>
    <row r="901" spans="27:29" ht="111.75" customHeight="1">
      <c r="AA901" s="102"/>
      <c r="AB901" s="102"/>
      <c r="AC901" s="103"/>
    </row>
    <row r="902" spans="27:29" ht="111.75" customHeight="1">
      <c r="AA902" s="102"/>
      <c r="AB902" s="102"/>
      <c r="AC902" s="103"/>
    </row>
    <row r="903" spans="27:29" ht="111.75" customHeight="1">
      <c r="AA903" s="102"/>
      <c r="AB903" s="102"/>
      <c r="AC903" s="103"/>
    </row>
    <row r="904" spans="27:29" ht="111.75" customHeight="1">
      <c r="AA904" s="102"/>
      <c r="AB904" s="102"/>
      <c r="AC904" s="103"/>
    </row>
    <row r="905" spans="27:29" ht="111.75" customHeight="1">
      <c r="AA905" s="102"/>
      <c r="AB905" s="102"/>
      <c r="AC905" s="103"/>
    </row>
    <row r="906" spans="27:29" ht="111.75" customHeight="1">
      <c r="AA906" s="102"/>
      <c r="AB906" s="102"/>
      <c r="AC906" s="103"/>
    </row>
    <row r="907" spans="27:29" ht="111.75" customHeight="1">
      <c r="AA907" s="102"/>
      <c r="AB907" s="102"/>
      <c r="AC907" s="103"/>
    </row>
    <row r="908" spans="27:29" ht="111.75" customHeight="1">
      <c r="AA908" s="102"/>
      <c r="AB908" s="102"/>
      <c r="AC908" s="103"/>
    </row>
    <row r="909" spans="27:29" ht="111.75" customHeight="1">
      <c r="AA909" s="102"/>
      <c r="AB909" s="102"/>
      <c r="AC909" s="103"/>
    </row>
    <row r="910" spans="27:29" ht="111.75" customHeight="1">
      <c r="AA910" s="102"/>
      <c r="AB910" s="102"/>
      <c r="AC910" s="103"/>
    </row>
    <row r="911" spans="27:29" ht="111.75" customHeight="1">
      <c r="AA911" s="102"/>
      <c r="AB911" s="102"/>
      <c r="AC911" s="103"/>
    </row>
    <row r="912" spans="27:29" ht="111.75" customHeight="1">
      <c r="AA912" s="102"/>
      <c r="AB912" s="102"/>
      <c r="AC912" s="103"/>
    </row>
    <row r="913" spans="27:29" ht="111.75" customHeight="1">
      <c r="AA913" s="102"/>
      <c r="AB913" s="102"/>
      <c r="AC913" s="103"/>
    </row>
    <row r="914" spans="27:29" ht="111.75" customHeight="1">
      <c r="AA914" s="102"/>
      <c r="AB914" s="102"/>
      <c r="AC914" s="103"/>
    </row>
    <row r="915" spans="27:29" ht="111.75" customHeight="1">
      <c r="AA915" s="102"/>
      <c r="AB915" s="102"/>
      <c r="AC915" s="103"/>
    </row>
    <row r="916" spans="27:29" ht="111.75" customHeight="1">
      <c r="AA916" s="102"/>
      <c r="AB916" s="102"/>
      <c r="AC916" s="103"/>
    </row>
    <row r="917" spans="27:29" ht="111.75" customHeight="1">
      <c r="AA917" s="102"/>
      <c r="AB917" s="102"/>
      <c r="AC917" s="103"/>
    </row>
    <row r="918" spans="27:29" ht="111.75" customHeight="1">
      <c r="AA918" s="102"/>
      <c r="AB918" s="102"/>
      <c r="AC918" s="103"/>
    </row>
    <row r="919" spans="27:29" ht="111.75" customHeight="1">
      <c r="AA919" s="102"/>
      <c r="AB919" s="102"/>
      <c r="AC919" s="103"/>
    </row>
    <row r="920" spans="27:29" ht="111.75" customHeight="1">
      <c r="AA920" s="102"/>
      <c r="AB920" s="102"/>
      <c r="AC920" s="103"/>
    </row>
    <row r="921" spans="27:29" ht="111.75" customHeight="1">
      <c r="AA921" s="102"/>
      <c r="AB921" s="102"/>
      <c r="AC921" s="103"/>
    </row>
    <row r="922" spans="27:29" ht="111.75" customHeight="1">
      <c r="AA922" s="102"/>
      <c r="AB922" s="102"/>
      <c r="AC922" s="103"/>
    </row>
    <row r="923" spans="27:29" ht="111.75" customHeight="1">
      <c r="AA923" s="102"/>
      <c r="AB923" s="102"/>
      <c r="AC923" s="103"/>
    </row>
    <row r="924" spans="27:29" ht="111.75" customHeight="1">
      <c r="AA924" s="102"/>
      <c r="AB924" s="102"/>
      <c r="AC924" s="103"/>
    </row>
    <row r="925" spans="27:29" ht="111.75" customHeight="1">
      <c r="AA925" s="102"/>
      <c r="AB925" s="102"/>
      <c r="AC925" s="103"/>
    </row>
    <row r="926" spans="27:29" ht="111.75" customHeight="1">
      <c r="AA926" s="102"/>
      <c r="AB926" s="102"/>
      <c r="AC926" s="103"/>
    </row>
    <row r="927" spans="27:29" ht="111.75" customHeight="1">
      <c r="AA927" s="102"/>
      <c r="AB927" s="102"/>
      <c r="AC927" s="103"/>
    </row>
    <row r="928" spans="27:29" ht="111.75" customHeight="1">
      <c r="AA928" s="102"/>
      <c r="AB928" s="102"/>
      <c r="AC928" s="103"/>
    </row>
    <row r="929" spans="27:29" ht="111.75" customHeight="1">
      <c r="AA929" s="102"/>
      <c r="AB929" s="102"/>
      <c r="AC929" s="103"/>
    </row>
    <row r="930" spans="27:29" ht="111.75" customHeight="1">
      <c r="AA930" s="102"/>
      <c r="AB930" s="102"/>
      <c r="AC930" s="103"/>
    </row>
    <row r="931" spans="27:29" ht="111.75" customHeight="1">
      <c r="AA931" s="102"/>
      <c r="AB931" s="102"/>
      <c r="AC931" s="103"/>
    </row>
    <row r="932" spans="27:29" ht="111.75" customHeight="1">
      <c r="AA932" s="102"/>
      <c r="AB932" s="102"/>
      <c r="AC932" s="103"/>
    </row>
    <row r="933" spans="27:29" ht="111.75" customHeight="1">
      <c r="AA933" s="102"/>
      <c r="AB933" s="102"/>
      <c r="AC933" s="103"/>
    </row>
    <row r="934" spans="27:29" ht="111.75" customHeight="1">
      <c r="AA934" s="102"/>
      <c r="AB934" s="102"/>
      <c r="AC934" s="103"/>
    </row>
    <row r="935" spans="27:29" ht="111.75" customHeight="1">
      <c r="AA935" s="102"/>
      <c r="AB935" s="102"/>
      <c r="AC935" s="103"/>
    </row>
    <row r="936" spans="27:29" ht="111.75" customHeight="1">
      <c r="AA936" s="102"/>
      <c r="AB936" s="102"/>
      <c r="AC936" s="103"/>
    </row>
    <row r="937" spans="27:29" ht="111.75" customHeight="1">
      <c r="AA937" s="102"/>
      <c r="AB937" s="102"/>
      <c r="AC937" s="103"/>
    </row>
    <row r="938" spans="27:29" ht="111.75" customHeight="1">
      <c r="AA938" s="102"/>
      <c r="AB938" s="102"/>
      <c r="AC938" s="103"/>
    </row>
    <row r="939" spans="27:29" ht="111.75" customHeight="1">
      <c r="AA939" s="102"/>
      <c r="AB939" s="102"/>
      <c r="AC939" s="103"/>
    </row>
    <row r="940" spans="27:29" ht="111.75" customHeight="1">
      <c r="AA940" s="102"/>
      <c r="AB940" s="102"/>
      <c r="AC940" s="103"/>
    </row>
    <row r="941" spans="27:29" ht="111.75" customHeight="1">
      <c r="AA941" s="102"/>
      <c r="AB941" s="102"/>
      <c r="AC941" s="103"/>
    </row>
    <row r="942" spans="27:29" ht="111.75" customHeight="1">
      <c r="AA942" s="102"/>
      <c r="AB942" s="102"/>
      <c r="AC942" s="103"/>
    </row>
    <row r="943" spans="27:29" ht="111.75" customHeight="1">
      <c r="AA943" s="102"/>
      <c r="AB943" s="102"/>
      <c r="AC943" s="103"/>
    </row>
    <row r="944" spans="27:29" ht="111.75" customHeight="1">
      <c r="AA944" s="102"/>
      <c r="AB944" s="102"/>
      <c r="AC944" s="103"/>
    </row>
    <row r="945" spans="27:29" ht="111.75" customHeight="1">
      <c r="AA945" s="102"/>
      <c r="AB945" s="102"/>
      <c r="AC945" s="103"/>
    </row>
    <row r="946" spans="27:29" ht="111.75" customHeight="1">
      <c r="AA946" s="102"/>
      <c r="AB946" s="102"/>
      <c r="AC946" s="103"/>
    </row>
    <row r="947" spans="27:29" ht="111.75" customHeight="1">
      <c r="AA947" s="102"/>
      <c r="AB947" s="102"/>
      <c r="AC947" s="103"/>
    </row>
    <row r="948" spans="27:29" ht="111.75" customHeight="1">
      <c r="AA948" s="102"/>
      <c r="AB948" s="102"/>
      <c r="AC948" s="103"/>
    </row>
    <row r="949" spans="27:29" ht="111.75" customHeight="1">
      <c r="AA949" s="102"/>
      <c r="AB949" s="102"/>
      <c r="AC949" s="103"/>
    </row>
    <row r="950" spans="27:29" ht="111.75" customHeight="1">
      <c r="AA950" s="102"/>
      <c r="AB950" s="102"/>
      <c r="AC950" s="103"/>
    </row>
    <row r="951" spans="27:29" ht="111.75" customHeight="1">
      <c r="AA951" s="102"/>
      <c r="AB951" s="102"/>
      <c r="AC951" s="103"/>
    </row>
    <row r="952" spans="27:29" ht="111.75" customHeight="1">
      <c r="AA952" s="102"/>
      <c r="AB952" s="102"/>
      <c r="AC952" s="103"/>
    </row>
    <row r="953" spans="27:29" ht="111.75" customHeight="1">
      <c r="AA953" s="102"/>
      <c r="AB953" s="102"/>
      <c r="AC953" s="103"/>
    </row>
    <row r="954" spans="27:29" ht="111.75" customHeight="1">
      <c r="AA954" s="102"/>
      <c r="AB954" s="102"/>
      <c r="AC954" s="103"/>
    </row>
    <row r="955" spans="27:29" ht="111.75" customHeight="1">
      <c r="AA955" s="102"/>
      <c r="AB955" s="102"/>
      <c r="AC955" s="103"/>
    </row>
    <row r="956" spans="27:29" ht="111.75" customHeight="1">
      <c r="AA956" s="102"/>
      <c r="AB956" s="102"/>
      <c r="AC956" s="103"/>
    </row>
    <row r="957" spans="27:29" ht="111.75" customHeight="1">
      <c r="AA957" s="102"/>
      <c r="AB957" s="102"/>
      <c r="AC957" s="103"/>
    </row>
    <row r="958" spans="27:29" ht="111.75" customHeight="1">
      <c r="AA958" s="102"/>
      <c r="AB958" s="102"/>
      <c r="AC958" s="103"/>
    </row>
    <row r="959" spans="27:29" ht="111.75" customHeight="1">
      <c r="AA959" s="102"/>
      <c r="AB959" s="102"/>
      <c r="AC959" s="103"/>
    </row>
    <row r="960" spans="27:29" ht="111.75" customHeight="1">
      <c r="AA960" s="102"/>
      <c r="AB960" s="102"/>
      <c r="AC960" s="103"/>
    </row>
    <row r="961" spans="27:29" ht="111.75" customHeight="1">
      <c r="AA961" s="102"/>
      <c r="AB961" s="102"/>
      <c r="AC961" s="103"/>
    </row>
    <row r="962" spans="27:29" ht="111.75" customHeight="1">
      <c r="AA962" s="102"/>
      <c r="AB962" s="102"/>
      <c r="AC962" s="103"/>
    </row>
    <row r="963" spans="27:29" ht="111.75" customHeight="1">
      <c r="AA963" s="102"/>
      <c r="AB963" s="102"/>
      <c r="AC963" s="103"/>
    </row>
    <row r="964" spans="27:29" ht="111.75" customHeight="1">
      <c r="AA964" s="102"/>
      <c r="AB964" s="102"/>
      <c r="AC964" s="103"/>
    </row>
    <row r="965" spans="27:29" ht="111.75" customHeight="1">
      <c r="AA965" s="102"/>
      <c r="AB965" s="102"/>
      <c r="AC965" s="103"/>
    </row>
    <row r="966" spans="27:29" ht="111.75" customHeight="1">
      <c r="AA966" s="102"/>
      <c r="AB966" s="102"/>
      <c r="AC966" s="103"/>
    </row>
    <row r="967" spans="27:29" ht="111.75" customHeight="1">
      <c r="AA967" s="102"/>
      <c r="AB967" s="102"/>
      <c r="AC967" s="103"/>
    </row>
    <row r="968" spans="27:29" ht="111.75" customHeight="1">
      <c r="AA968" s="102"/>
      <c r="AB968" s="102"/>
      <c r="AC968" s="103"/>
    </row>
    <row r="969" spans="27:29" ht="111.75" customHeight="1">
      <c r="AA969" s="102"/>
      <c r="AB969" s="102"/>
      <c r="AC969" s="103"/>
    </row>
    <row r="970" spans="27:29" ht="111.75" customHeight="1">
      <c r="AA970" s="102"/>
      <c r="AB970" s="102"/>
      <c r="AC970" s="103"/>
    </row>
    <row r="971" spans="27:29" ht="111.75" customHeight="1">
      <c r="AA971" s="102"/>
      <c r="AB971" s="102"/>
      <c r="AC971" s="103"/>
    </row>
    <row r="972" spans="27:29" ht="111.75" customHeight="1">
      <c r="AA972" s="102"/>
      <c r="AB972" s="102"/>
      <c r="AC972" s="103"/>
    </row>
    <row r="973" spans="27:29" ht="111.75" customHeight="1">
      <c r="AA973" s="102"/>
      <c r="AB973" s="102"/>
      <c r="AC973" s="103"/>
    </row>
    <row r="974" spans="27:29" ht="111.75" customHeight="1">
      <c r="AA974" s="102"/>
      <c r="AB974" s="102"/>
      <c r="AC974" s="103"/>
    </row>
    <row r="975" spans="27:29" ht="111.75" customHeight="1">
      <c r="AA975" s="102"/>
      <c r="AB975" s="102"/>
      <c r="AC975" s="103"/>
    </row>
    <row r="976" spans="27:29" ht="111.75" customHeight="1">
      <c r="AA976" s="102"/>
      <c r="AB976" s="102"/>
      <c r="AC976" s="103"/>
    </row>
    <row r="977" spans="27:29" ht="111.75" customHeight="1">
      <c r="AA977" s="102"/>
      <c r="AB977" s="102"/>
      <c r="AC977" s="103"/>
    </row>
    <row r="978" spans="27:29" ht="111.75" customHeight="1">
      <c r="AA978" s="102"/>
      <c r="AB978" s="102"/>
      <c r="AC978" s="103"/>
    </row>
    <row r="979" spans="27:29" ht="111.75" customHeight="1">
      <c r="AA979" s="102"/>
      <c r="AB979" s="102"/>
      <c r="AC979" s="103"/>
    </row>
    <row r="980" spans="27:29" ht="111.75" customHeight="1">
      <c r="AA980" s="102"/>
      <c r="AB980" s="102"/>
      <c r="AC980" s="103"/>
    </row>
    <row r="981" spans="27:29" ht="111.75" customHeight="1">
      <c r="AA981" s="102"/>
      <c r="AB981" s="102"/>
      <c r="AC981" s="103"/>
    </row>
    <row r="982" spans="27:29" ht="111.75" customHeight="1">
      <c r="AA982" s="102"/>
      <c r="AB982" s="102"/>
      <c r="AC982" s="103"/>
    </row>
    <row r="983" spans="27:29" ht="111.75" customHeight="1">
      <c r="AA983" s="102"/>
      <c r="AB983" s="102"/>
      <c r="AC983" s="103"/>
    </row>
    <row r="984" spans="27:29" ht="111.75" customHeight="1">
      <c r="AA984" s="102"/>
      <c r="AB984" s="102"/>
      <c r="AC984" s="103"/>
    </row>
    <row r="985" spans="27:29" ht="111.75" customHeight="1">
      <c r="AA985" s="102"/>
      <c r="AB985" s="102"/>
      <c r="AC985" s="103"/>
    </row>
    <row r="986" spans="27:29" ht="111.75" customHeight="1">
      <c r="AA986" s="102"/>
      <c r="AB986" s="102"/>
      <c r="AC986" s="103"/>
    </row>
    <row r="987" spans="27:29" ht="111.75" customHeight="1">
      <c r="AA987" s="102"/>
      <c r="AB987" s="102"/>
      <c r="AC987" s="103"/>
    </row>
    <row r="988" spans="27:29" ht="111.75" customHeight="1">
      <c r="AA988" s="102"/>
      <c r="AB988" s="102"/>
      <c r="AC988" s="103"/>
    </row>
    <row r="989" spans="27:29" ht="111.75" customHeight="1">
      <c r="AA989" s="102"/>
      <c r="AB989" s="102"/>
      <c r="AC989" s="103"/>
    </row>
    <row r="990" spans="27:29" ht="111.75" customHeight="1">
      <c r="AA990" s="102"/>
      <c r="AB990" s="102"/>
      <c r="AC990" s="103"/>
    </row>
    <row r="991" spans="27:29" ht="111.75" customHeight="1">
      <c r="AA991" s="102"/>
      <c r="AB991" s="102"/>
      <c r="AC991" s="103"/>
    </row>
    <row r="992" spans="27:29" ht="111.75" customHeight="1">
      <c r="AA992" s="102"/>
      <c r="AB992" s="102"/>
      <c r="AC992" s="103"/>
    </row>
    <row r="993" spans="27:29" ht="111.75" customHeight="1">
      <c r="AA993" s="102"/>
      <c r="AB993" s="102"/>
      <c r="AC993" s="103"/>
    </row>
    <row r="994" spans="27:29" ht="111.75" customHeight="1">
      <c r="AA994" s="102"/>
      <c r="AB994" s="102"/>
      <c r="AC994" s="103"/>
    </row>
    <row r="995" spans="27:29" ht="111.75" customHeight="1">
      <c r="AA995" s="102"/>
      <c r="AB995" s="102"/>
      <c r="AC995" s="103"/>
    </row>
    <row r="996" spans="27:29" ht="111.75" customHeight="1">
      <c r="AA996" s="102"/>
      <c r="AB996" s="102"/>
      <c r="AC996" s="103"/>
    </row>
    <row r="997" spans="27:29" ht="111.75" customHeight="1">
      <c r="AA997" s="102"/>
      <c r="AB997" s="102"/>
      <c r="AC997" s="103"/>
    </row>
    <row r="998" spans="27:29" ht="111.75" customHeight="1">
      <c r="AA998" s="102"/>
      <c r="AB998" s="102"/>
      <c r="AC998" s="103"/>
    </row>
    <row r="999" spans="27:29" ht="111.75" customHeight="1">
      <c r="AA999" s="102"/>
      <c r="AB999" s="102"/>
      <c r="AC999" s="103"/>
    </row>
    <row r="1000" spans="27:29" ht="111.75" customHeight="1">
      <c r="AA1000" s="102"/>
      <c r="AB1000" s="102"/>
      <c r="AC1000" s="103"/>
    </row>
    <row r="1001" spans="27:29" ht="111.75" customHeight="1">
      <c r="AA1001" s="102"/>
      <c r="AB1001" s="102"/>
      <c r="AC1001" s="103"/>
    </row>
    <row r="1002" spans="27:29" ht="111.75" customHeight="1">
      <c r="AA1002" s="102"/>
      <c r="AB1002" s="102"/>
      <c r="AC1002" s="103"/>
    </row>
    <row r="1003" spans="27:29" ht="111.75" customHeight="1">
      <c r="AA1003" s="102"/>
      <c r="AB1003" s="102"/>
      <c r="AC1003" s="103"/>
    </row>
    <row r="1004" spans="27:29" ht="111.75" customHeight="1">
      <c r="AA1004" s="102"/>
      <c r="AB1004" s="102"/>
      <c r="AC1004" s="103"/>
    </row>
    <row r="1005" spans="27:29" ht="111.75" customHeight="1">
      <c r="AA1005" s="102"/>
      <c r="AB1005" s="102"/>
      <c r="AC1005" s="103"/>
    </row>
    <row r="1006" spans="27:29" ht="111.75" customHeight="1">
      <c r="AA1006" s="102"/>
      <c r="AB1006" s="102"/>
      <c r="AC1006" s="103"/>
    </row>
    <row r="1007" spans="27:29" ht="111.75" customHeight="1">
      <c r="AA1007" s="102"/>
      <c r="AB1007" s="102"/>
      <c r="AC1007" s="103"/>
    </row>
    <row r="1008" spans="27:29" ht="111.75" customHeight="1">
      <c r="AA1008" s="102"/>
      <c r="AB1008" s="102"/>
      <c r="AC1008" s="103"/>
    </row>
    <row r="1009" spans="27:29" ht="111.75" customHeight="1">
      <c r="AA1009" s="102"/>
      <c r="AB1009" s="102"/>
      <c r="AC1009" s="103"/>
    </row>
    <row r="1010" spans="27:29" ht="111.75" customHeight="1">
      <c r="AA1010" s="102"/>
      <c r="AB1010" s="102"/>
      <c r="AC1010" s="103"/>
    </row>
    <row r="1011" spans="27:29" ht="111.75" customHeight="1">
      <c r="AA1011" s="102"/>
      <c r="AB1011" s="102"/>
      <c r="AC1011" s="103"/>
    </row>
    <row r="1012" spans="27:29" ht="111.75" customHeight="1">
      <c r="AA1012" s="102"/>
      <c r="AB1012" s="102"/>
      <c r="AC1012" s="103"/>
    </row>
    <row r="1013" spans="27:29" ht="111.75" customHeight="1">
      <c r="AA1013" s="102"/>
      <c r="AB1013" s="102"/>
      <c r="AC1013" s="103"/>
    </row>
    <row r="1014" spans="27:29" ht="111.75" customHeight="1">
      <c r="AA1014" s="102"/>
      <c r="AB1014" s="102"/>
      <c r="AC1014" s="103"/>
    </row>
    <row r="1015" spans="27:29" ht="111.75" customHeight="1">
      <c r="AA1015" s="102"/>
      <c r="AB1015" s="102"/>
      <c r="AC1015" s="103"/>
    </row>
    <row r="1016" spans="27:29" ht="111.75" customHeight="1">
      <c r="AA1016" s="102"/>
      <c r="AB1016" s="102"/>
      <c r="AC1016" s="103"/>
    </row>
    <row r="1017" spans="27:29" ht="111.75" customHeight="1">
      <c r="AA1017" s="102"/>
      <c r="AB1017" s="102"/>
      <c r="AC1017" s="103"/>
    </row>
    <row r="1018" spans="27:29" ht="111.75" customHeight="1">
      <c r="AA1018" s="102"/>
      <c r="AB1018" s="102"/>
      <c r="AC1018" s="103"/>
    </row>
    <row r="1019" spans="27:29" ht="111.75" customHeight="1">
      <c r="AA1019" s="102"/>
      <c r="AB1019" s="102"/>
      <c r="AC1019" s="103"/>
    </row>
    <row r="1020" spans="27:29" ht="111.75" customHeight="1">
      <c r="AA1020" s="102"/>
      <c r="AB1020" s="102"/>
      <c r="AC1020" s="103"/>
    </row>
    <row r="1021" spans="27:29" ht="111.75" customHeight="1">
      <c r="AA1021" s="102"/>
      <c r="AB1021" s="102"/>
      <c r="AC1021" s="103"/>
    </row>
    <row r="1022" spans="27:29" ht="111.75" customHeight="1">
      <c r="AA1022" s="102"/>
      <c r="AB1022" s="102"/>
      <c r="AC1022" s="103"/>
    </row>
    <row r="1023" spans="27:29" ht="111.75" customHeight="1">
      <c r="AA1023" s="102"/>
      <c r="AB1023" s="102"/>
      <c r="AC1023" s="103"/>
    </row>
    <row r="1024" spans="27:29" ht="111.75" customHeight="1">
      <c r="AA1024" s="102"/>
      <c r="AB1024" s="102"/>
      <c r="AC1024" s="103"/>
    </row>
    <row r="1025" spans="27:29" ht="111.75" customHeight="1">
      <c r="AA1025" s="102"/>
      <c r="AB1025" s="102"/>
      <c r="AC1025" s="103"/>
    </row>
    <row r="1026" spans="27:29" ht="111.75" customHeight="1">
      <c r="AA1026" s="102"/>
      <c r="AB1026" s="102"/>
      <c r="AC1026" s="103"/>
    </row>
    <row r="1027" spans="27:29" ht="111.75" customHeight="1">
      <c r="AA1027" s="102"/>
      <c r="AB1027" s="102"/>
      <c r="AC1027" s="103"/>
    </row>
    <row r="1028" spans="27:29" ht="111.75" customHeight="1">
      <c r="AA1028" s="102"/>
      <c r="AB1028" s="102"/>
      <c r="AC1028" s="103"/>
    </row>
    <row r="1029" spans="27:29" ht="111.75" customHeight="1">
      <c r="AA1029" s="102"/>
      <c r="AB1029" s="102"/>
      <c r="AC1029" s="103"/>
    </row>
    <row r="1030" spans="27:29" ht="111.75" customHeight="1">
      <c r="AA1030" s="102"/>
      <c r="AB1030" s="102"/>
      <c r="AC1030" s="103"/>
    </row>
    <row r="1031" spans="27:29" ht="111.75" customHeight="1">
      <c r="AA1031" s="102"/>
      <c r="AB1031" s="102"/>
      <c r="AC1031" s="103"/>
    </row>
    <row r="1032" spans="27:29" ht="111.75" customHeight="1">
      <c r="AA1032" s="102"/>
      <c r="AB1032" s="102"/>
      <c r="AC1032" s="103"/>
    </row>
    <row r="1033" spans="27:29" ht="111.75" customHeight="1">
      <c r="AA1033" s="102"/>
      <c r="AB1033" s="102"/>
      <c r="AC1033" s="103"/>
    </row>
    <row r="1034" spans="27:29" ht="111.75" customHeight="1">
      <c r="AA1034" s="102"/>
      <c r="AB1034" s="102"/>
      <c r="AC1034" s="103"/>
    </row>
    <row r="1035" spans="27:29" ht="111.75" customHeight="1">
      <c r="AA1035" s="102"/>
      <c r="AB1035" s="102"/>
      <c r="AC1035" s="103"/>
    </row>
    <row r="1036" spans="27:29" ht="111.75" customHeight="1">
      <c r="AA1036" s="102"/>
      <c r="AB1036" s="102"/>
      <c r="AC1036" s="103"/>
    </row>
    <row r="1037" spans="27:29" ht="111.75" customHeight="1">
      <c r="AA1037" s="102"/>
      <c r="AB1037" s="102"/>
      <c r="AC1037" s="103"/>
    </row>
    <row r="1038" spans="27:29" ht="111.75" customHeight="1">
      <c r="AA1038" s="102"/>
      <c r="AB1038" s="102"/>
      <c r="AC1038" s="103"/>
    </row>
    <row r="1039" spans="27:29" ht="111.75" customHeight="1">
      <c r="AA1039" s="102"/>
      <c r="AB1039" s="102"/>
      <c r="AC1039" s="103"/>
    </row>
    <row r="1040" spans="27:29" ht="111.75" customHeight="1">
      <c r="AA1040" s="102"/>
      <c r="AB1040" s="102"/>
      <c r="AC1040" s="103"/>
    </row>
    <row r="1041" spans="27:29" ht="111.75" customHeight="1">
      <c r="AA1041" s="102"/>
      <c r="AB1041" s="102"/>
      <c r="AC1041" s="103"/>
    </row>
    <row r="1042" spans="27:29" ht="111.75" customHeight="1">
      <c r="AA1042" s="102"/>
      <c r="AB1042" s="102"/>
      <c r="AC1042" s="103"/>
    </row>
    <row r="1043" spans="27:29" ht="111.75" customHeight="1">
      <c r="AA1043" s="102"/>
      <c r="AB1043" s="102"/>
      <c r="AC1043" s="103"/>
    </row>
    <row r="1044" spans="27:29" ht="111.75" customHeight="1">
      <c r="AA1044" s="102"/>
      <c r="AB1044" s="102"/>
      <c r="AC1044" s="103"/>
    </row>
    <row r="1045" spans="27:29" ht="111.75" customHeight="1">
      <c r="AA1045" s="102"/>
      <c r="AB1045" s="102"/>
      <c r="AC1045" s="103"/>
    </row>
    <row r="1046" spans="27:29" ht="111.75" customHeight="1">
      <c r="AA1046" s="102"/>
      <c r="AB1046" s="102"/>
      <c r="AC1046" s="103"/>
    </row>
    <row r="1047" spans="27:29" ht="111.75" customHeight="1">
      <c r="AA1047" s="102"/>
      <c r="AB1047" s="102"/>
      <c r="AC1047" s="103"/>
    </row>
    <row r="1048" spans="27:29" ht="111.75" customHeight="1">
      <c r="AA1048" s="102"/>
      <c r="AB1048" s="102"/>
      <c r="AC1048" s="103"/>
    </row>
    <row r="1049" spans="27:29" ht="111.75" customHeight="1">
      <c r="AA1049" s="102"/>
      <c r="AB1049" s="102"/>
      <c r="AC1049" s="103"/>
    </row>
    <row r="1050" spans="27:29" ht="111.75" customHeight="1">
      <c r="AA1050" s="102"/>
      <c r="AB1050" s="102"/>
      <c r="AC1050" s="103"/>
    </row>
    <row r="1051" spans="27:29" ht="111.75" customHeight="1">
      <c r="AA1051" s="102"/>
      <c r="AB1051" s="102"/>
      <c r="AC1051" s="103"/>
    </row>
    <row r="1052" spans="27:29" ht="111.75" customHeight="1">
      <c r="AA1052" s="102"/>
      <c r="AB1052" s="102"/>
      <c r="AC1052" s="103"/>
    </row>
    <row r="1053" spans="27:29" ht="111.75" customHeight="1">
      <c r="AA1053" s="102"/>
      <c r="AB1053" s="102"/>
      <c r="AC1053" s="103"/>
    </row>
    <row r="1054" spans="27:29" ht="111.75" customHeight="1">
      <c r="AA1054" s="102"/>
      <c r="AB1054" s="102"/>
      <c r="AC1054" s="103"/>
    </row>
    <row r="1055" spans="27:29" ht="111.75" customHeight="1">
      <c r="AA1055" s="102"/>
      <c r="AB1055" s="102"/>
      <c r="AC1055" s="103"/>
    </row>
    <row r="1056" spans="27:29" ht="111.75" customHeight="1">
      <c r="AA1056" s="102"/>
      <c r="AB1056" s="102"/>
      <c r="AC1056" s="103"/>
    </row>
    <row r="1057" spans="27:29" ht="111.75" customHeight="1">
      <c r="AA1057" s="102"/>
      <c r="AB1057" s="102"/>
      <c r="AC1057" s="103"/>
    </row>
    <row r="1058" spans="27:29" ht="111.75" customHeight="1">
      <c r="AA1058" s="102"/>
      <c r="AB1058" s="102"/>
      <c r="AC1058" s="103"/>
    </row>
    <row r="1059" spans="27:29" ht="111.75" customHeight="1">
      <c r="AA1059" s="102"/>
      <c r="AB1059" s="102"/>
      <c r="AC1059" s="103"/>
    </row>
    <row r="1060" spans="27:29" ht="111.75" customHeight="1">
      <c r="AA1060" s="102"/>
      <c r="AB1060" s="102"/>
      <c r="AC1060" s="103"/>
    </row>
    <row r="1061" spans="27:29" ht="111.75" customHeight="1">
      <c r="AA1061" s="102"/>
      <c r="AB1061" s="102"/>
      <c r="AC1061" s="103"/>
    </row>
    <row r="1062" spans="27:29" ht="111.75" customHeight="1">
      <c r="AA1062" s="102"/>
      <c r="AB1062" s="102"/>
      <c r="AC1062" s="103"/>
    </row>
    <row r="1063" spans="27:29" ht="111.75" customHeight="1">
      <c r="AA1063" s="102"/>
      <c r="AB1063" s="102"/>
      <c r="AC1063" s="103"/>
    </row>
    <row r="1064" spans="27:29" ht="111.75" customHeight="1">
      <c r="AA1064" s="102"/>
      <c r="AB1064" s="102"/>
      <c r="AC1064" s="103"/>
    </row>
    <row r="1065" spans="27:29" ht="111.75" customHeight="1">
      <c r="AA1065" s="102"/>
      <c r="AB1065" s="102"/>
      <c r="AC1065" s="103"/>
    </row>
    <row r="1066" spans="27:29" ht="111.75" customHeight="1">
      <c r="AA1066" s="102"/>
      <c r="AB1066" s="102"/>
      <c r="AC1066" s="103"/>
    </row>
    <row r="1067" spans="27:29" ht="111.75" customHeight="1">
      <c r="AA1067" s="102"/>
      <c r="AB1067" s="102"/>
      <c r="AC1067" s="103"/>
    </row>
    <row r="1068" spans="27:29" ht="111.75" customHeight="1">
      <c r="AA1068" s="102"/>
      <c r="AB1068" s="102"/>
      <c r="AC1068" s="103"/>
    </row>
    <row r="1069" spans="27:29" ht="111.75" customHeight="1">
      <c r="AA1069" s="102"/>
      <c r="AB1069" s="102"/>
      <c r="AC1069" s="103"/>
    </row>
    <row r="1070" spans="27:29" ht="111.75" customHeight="1">
      <c r="AA1070" s="102"/>
      <c r="AB1070" s="102"/>
      <c r="AC1070" s="103"/>
    </row>
    <row r="1071" spans="27:29" ht="111.75" customHeight="1">
      <c r="AA1071" s="102"/>
      <c r="AB1071" s="102"/>
      <c r="AC1071" s="103"/>
    </row>
    <row r="1072" spans="27:29" ht="111.75" customHeight="1">
      <c r="AA1072" s="102"/>
      <c r="AB1072" s="102"/>
      <c r="AC1072" s="103"/>
    </row>
    <row r="1073" spans="27:29" ht="111.75" customHeight="1">
      <c r="AA1073" s="102"/>
      <c r="AB1073" s="102"/>
      <c r="AC1073" s="103"/>
    </row>
    <row r="1074" spans="27:29" ht="111.75" customHeight="1">
      <c r="AA1074" s="102"/>
      <c r="AB1074" s="102"/>
      <c r="AC1074" s="103"/>
    </row>
    <row r="1075" spans="27:29" ht="111.75" customHeight="1">
      <c r="AA1075" s="102"/>
      <c r="AB1075" s="102"/>
      <c r="AC1075" s="103"/>
    </row>
    <row r="1076" spans="27:29" ht="111.75" customHeight="1">
      <c r="AA1076" s="102"/>
      <c r="AB1076" s="102"/>
      <c r="AC1076" s="103"/>
    </row>
    <row r="1077" spans="27:29" ht="111.75" customHeight="1">
      <c r="AA1077" s="102"/>
      <c r="AB1077" s="102"/>
      <c r="AC1077" s="103"/>
    </row>
    <row r="1078" spans="27:29" ht="111.75" customHeight="1">
      <c r="AA1078" s="102"/>
      <c r="AB1078" s="102"/>
      <c r="AC1078" s="103"/>
    </row>
    <row r="1079" spans="27:29" ht="111.75" customHeight="1">
      <c r="AA1079" s="102"/>
      <c r="AB1079" s="102"/>
      <c r="AC1079" s="103"/>
    </row>
    <row r="1080" spans="27:29" ht="111.75" customHeight="1">
      <c r="AA1080" s="102"/>
      <c r="AB1080" s="102"/>
      <c r="AC1080" s="103"/>
    </row>
    <row r="1081" spans="27:29" ht="111.75" customHeight="1">
      <c r="AA1081" s="102"/>
      <c r="AB1081" s="102"/>
      <c r="AC1081" s="103"/>
    </row>
    <row r="1082" spans="27:29" ht="111.75" customHeight="1">
      <c r="AA1082" s="102"/>
      <c r="AB1082" s="102"/>
      <c r="AC1082" s="103"/>
    </row>
    <row r="1083" spans="27:29" ht="111.75" customHeight="1">
      <c r="AA1083" s="102"/>
      <c r="AB1083" s="102"/>
      <c r="AC1083" s="103"/>
    </row>
    <row r="1084" spans="27:29" ht="111.75" customHeight="1">
      <c r="AA1084" s="102"/>
      <c r="AB1084" s="102"/>
      <c r="AC1084" s="103"/>
    </row>
    <row r="1085" spans="27:29" ht="111.75" customHeight="1">
      <c r="AA1085" s="102"/>
      <c r="AB1085" s="102"/>
      <c r="AC1085" s="103"/>
    </row>
    <row r="1086" spans="27:29" ht="111.75" customHeight="1">
      <c r="AA1086" s="102"/>
      <c r="AB1086" s="102"/>
      <c r="AC1086" s="103"/>
    </row>
    <row r="1087" spans="27:29" ht="111.75" customHeight="1">
      <c r="AA1087" s="102"/>
      <c r="AB1087" s="102"/>
      <c r="AC1087" s="103"/>
    </row>
    <row r="1088" spans="27:29" ht="111.75" customHeight="1">
      <c r="AA1088" s="102"/>
      <c r="AB1088" s="102"/>
      <c r="AC1088" s="103"/>
    </row>
    <row r="1089" spans="27:29" ht="111.75" customHeight="1">
      <c r="AA1089" s="102"/>
      <c r="AB1089" s="102"/>
      <c r="AC1089" s="103"/>
    </row>
    <row r="1090" spans="27:29" ht="111.75" customHeight="1">
      <c r="AA1090" s="102"/>
      <c r="AB1090" s="102"/>
      <c r="AC1090" s="103"/>
    </row>
    <row r="1091" spans="27:29" ht="111.75" customHeight="1">
      <c r="AA1091" s="102"/>
      <c r="AB1091" s="102"/>
      <c r="AC1091" s="103"/>
    </row>
    <row r="1092" spans="27:29" ht="111.75" customHeight="1">
      <c r="AA1092" s="102"/>
      <c r="AB1092" s="102"/>
      <c r="AC1092" s="103"/>
    </row>
    <row r="1093" spans="27:29" ht="111.75" customHeight="1">
      <c r="AA1093" s="102"/>
      <c r="AB1093" s="102"/>
      <c r="AC1093" s="103"/>
    </row>
    <row r="1094" spans="27:29" ht="111.75" customHeight="1">
      <c r="AA1094" s="102"/>
      <c r="AB1094" s="102"/>
      <c r="AC1094" s="103"/>
    </row>
    <row r="1095" spans="27:29" ht="111.75" customHeight="1">
      <c r="AA1095" s="102"/>
      <c r="AB1095" s="102"/>
      <c r="AC1095" s="103"/>
    </row>
    <row r="1096" spans="27:29" ht="111.75" customHeight="1">
      <c r="AA1096" s="102"/>
      <c r="AB1096" s="102"/>
      <c r="AC1096" s="103"/>
    </row>
    <row r="1097" spans="27:29" ht="111.75" customHeight="1">
      <c r="AA1097" s="102"/>
      <c r="AB1097" s="102"/>
      <c r="AC1097" s="103"/>
    </row>
    <row r="1098" spans="27:29" ht="111.75" customHeight="1">
      <c r="AA1098" s="102"/>
      <c r="AB1098" s="102"/>
      <c r="AC1098" s="103"/>
    </row>
    <row r="1099" spans="27:29" ht="111.75" customHeight="1">
      <c r="AA1099" s="102"/>
      <c r="AB1099" s="102"/>
      <c r="AC1099" s="103"/>
    </row>
    <row r="1100" spans="27:29" ht="111.75" customHeight="1">
      <c r="AA1100" s="102"/>
      <c r="AB1100" s="102"/>
      <c r="AC1100" s="103"/>
    </row>
    <row r="1101" spans="27:29" ht="111.75" customHeight="1">
      <c r="AA1101" s="102"/>
      <c r="AB1101" s="102"/>
      <c r="AC1101" s="103"/>
    </row>
    <row r="1102" spans="27:29" ht="111.75" customHeight="1">
      <c r="AA1102" s="102"/>
      <c r="AB1102" s="102"/>
      <c r="AC1102" s="103"/>
    </row>
    <row r="1103" spans="27:29" ht="111.75" customHeight="1">
      <c r="AA1103" s="102"/>
      <c r="AB1103" s="102"/>
      <c r="AC1103" s="103"/>
    </row>
    <row r="1104" spans="27:29" ht="111.75" customHeight="1">
      <c r="AA1104" s="102"/>
      <c r="AB1104" s="102"/>
      <c r="AC1104" s="103"/>
    </row>
    <row r="1105" spans="27:29" ht="111.75" customHeight="1">
      <c r="AA1105" s="102"/>
      <c r="AB1105" s="102"/>
      <c r="AC1105" s="103"/>
    </row>
    <row r="1106" spans="27:29" ht="111.75" customHeight="1">
      <c r="AA1106" s="102"/>
      <c r="AB1106" s="102"/>
      <c r="AC1106" s="103"/>
    </row>
    <row r="1107" spans="27:29" ht="111.75" customHeight="1">
      <c r="AA1107" s="102"/>
      <c r="AB1107" s="102"/>
      <c r="AC1107" s="103"/>
    </row>
    <row r="1108" spans="27:29" ht="111.75" customHeight="1">
      <c r="AA1108" s="102"/>
      <c r="AB1108" s="102"/>
      <c r="AC1108" s="103"/>
    </row>
    <row r="1109" spans="27:29" ht="111.75" customHeight="1">
      <c r="AA1109" s="102"/>
      <c r="AB1109" s="102"/>
      <c r="AC1109" s="103"/>
    </row>
    <row r="1110" spans="27:29" ht="111.75" customHeight="1">
      <c r="AA1110" s="102"/>
      <c r="AB1110" s="102"/>
      <c r="AC1110" s="103"/>
    </row>
    <row r="1111" spans="27:29" ht="111.75" customHeight="1">
      <c r="AA1111" s="102"/>
      <c r="AB1111" s="102"/>
      <c r="AC1111" s="103"/>
    </row>
    <row r="1112" spans="27:29" ht="111.75" customHeight="1">
      <c r="AA1112" s="102"/>
      <c r="AB1112" s="102"/>
      <c r="AC1112" s="103"/>
    </row>
    <row r="1113" spans="27:29" ht="111.75" customHeight="1">
      <c r="AA1113" s="102"/>
      <c r="AB1113" s="102"/>
      <c r="AC1113" s="103"/>
    </row>
    <row r="1114" spans="27:29" ht="111.75" customHeight="1">
      <c r="AA1114" s="102"/>
      <c r="AB1114" s="102"/>
      <c r="AC1114" s="103"/>
    </row>
    <row r="1115" spans="27:29" ht="111.75" customHeight="1">
      <c r="AA1115" s="102"/>
      <c r="AB1115" s="102"/>
      <c r="AC1115" s="103"/>
    </row>
    <row r="1116" spans="27:29" ht="111.75" customHeight="1">
      <c r="AA1116" s="102"/>
      <c r="AB1116" s="102"/>
      <c r="AC1116" s="103"/>
    </row>
    <row r="1117" spans="27:29" ht="111.75" customHeight="1">
      <c r="AA1117" s="102"/>
      <c r="AB1117" s="102"/>
      <c r="AC1117" s="103"/>
    </row>
    <row r="1118" spans="27:29" ht="111.75" customHeight="1">
      <c r="AA1118" s="102"/>
      <c r="AB1118" s="102"/>
      <c r="AC1118" s="103"/>
    </row>
    <row r="1119" spans="27:29" ht="111.75" customHeight="1">
      <c r="AA1119" s="102"/>
      <c r="AB1119" s="102"/>
      <c r="AC1119" s="103"/>
    </row>
    <row r="1120" spans="27:29" ht="111.75" customHeight="1">
      <c r="AA1120" s="102"/>
      <c r="AB1120" s="102"/>
      <c r="AC1120" s="103"/>
    </row>
    <row r="1121" spans="27:29" ht="111.75" customHeight="1">
      <c r="AA1121" s="102"/>
      <c r="AB1121" s="102"/>
      <c r="AC1121" s="103"/>
    </row>
    <row r="1122" spans="27:29" ht="111.75" customHeight="1">
      <c r="AA1122" s="102"/>
      <c r="AB1122" s="102"/>
      <c r="AC1122" s="103"/>
    </row>
    <row r="1123" spans="27:29" ht="111.75" customHeight="1">
      <c r="AA1123" s="102"/>
      <c r="AB1123" s="102"/>
      <c r="AC1123" s="103"/>
    </row>
    <row r="1124" spans="27:29" ht="111.75" customHeight="1">
      <c r="AA1124" s="102"/>
      <c r="AB1124" s="102"/>
      <c r="AC1124" s="103"/>
    </row>
    <row r="1125" spans="27:29" ht="111.75" customHeight="1">
      <c r="AA1125" s="102"/>
      <c r="AB1125" s="102"/>
      <c r="AC1125" s="103"/>
    </row>
    <row r="1126" spans="27:29" ht="111.75" customHeight="1">
      <c r="AA1126" s="102"/>
      <c r="AB1126" s="102"/>
      <c r="AC1126" s="103"/>
    </row>
    <row r="1127" spans="27:29" ht="111.75" customHeight="1">
      <c r="AA1127" s="102"/>
      <c r="AB1127" s="102"/>
      <c r="AC1127" s="103"/>
    </row>
    <row r="1128" spans="27:29" ht="111.75" customHeight="1">
      <c r="AA1128" s="102"/>
      <c r="AB1128" s="102"/>
      <c r="AC1128" s="103"/>
    </row>
    <row r="1129" spans="27:29" ht="111.75" customHeight="1">
      <c r="AA1129" s="102"/>
      <c r="AB1129" s="102"/>
      <c r="AC1129" s="103"/>
    </row>
    <row r="1130" spans="27:29" ht="111.75" customHeight="1">
      <c r="AA1130" s="102"/>
      <c r="AB1130" s="102"/>
      <c r="AC1130" s="103"/>
    </row>
    <row r="1131" spans="27:29" ht="111.75" customHeight="1">
      <c r="AA1131" s="102"/>
      <c r="AB1131" s="102"/>
      <c r="AC1131" s="103"/>
    </row>
    <row r="1132" spans="27:29" ht="111.75" customHeight="1">
      <c r="AA1132" s="102"/>
      <c r="AB1132" s="102"/>
      <c r="AC1132" s="103"/>
    </row>
    <row r="1133" spans="27:29" ht="111.75" customHeight="1">
      <c r="AA1133" s="102"/>
      <c r="AB1133" s="102"/>
      <c r="AC1133" s="103"/>
    </row>
    <row r="1134" spans="27:29" ht="111.75" customHeight="1">
      <c r="AA1134" s="102"/>
      <c r="AB1134" s="102"/>
      <c r="AC1134" s="103"/>
    </row>
    <row r="1135" spans="27:29" ht="111.75" customHeight="1">
      <c r="AA1135" s="102"/>
      <c r="AB1135" s="102"/>
      <c r="AC1135" s="103"/>
    </row>
    <row r="1136" spans="27:29" ht="111.75" customHeight="1">
      <c r="AA1136" s="102"/>
      <c r="AB1136" s="102"/>
      <c r="AC1136" s="103"/>
    </row>
    <row r="1137" spans="27:29" ht="111.75" customHeight="1">
      <c r="AA1137" s="102"/>
      <c r="AB1137" s="102"/>
      <c r="AC1137" s="103"/>
    </row>
    <row r="1138" spans="27:29" ht="111.75" customHeight="1">
      <c r="AA1138" s="102"/>
      <c r="AB1138" s="102"/>
      <c r="AC1138" s="103"/>
    </row>
    <row r="1139" spans="27:29" ht="111.75" customHeight="1">
      <c r="AA1139" s="102"/>
      <c r="AB1139" s="102"/>
      <c r="AC1139" s="103"/>
    </row>
    <row r="1140" spans="27:29" ht="111.75" customHeight="1">
      <c r="AA1140" s="102"/>
      <c r="AB1140" s="102"/>
      <c r="AC1140" s="103"/>
    </row>
    <row r="1141" spans="27:29" ht="111.75" customHeight="1">
      <c r="AA1141" s="102"/>
      <c r="AB1141" s="102"/>
      <c r="AC1141" s="103"/>
    </row>
    <row r="1142" spans="27:29" ht="111.75" customHeight="1">
      <c r="AA1142" s="102"/>
      <c r="AB1142" s="102"/>
      <c r="AC1142" s="103"/>
    </row>
    <row r="1143" spans="27:29" ht="111.75" customHeight="1">
      <c r="AA1143" s="102"/>
      <c r="AB1143" s="102"/>
      <c r="AC1143" s="103"/>
    </row>
    <row r="1144" spans="27:29" ht="111.75" customHeight="1">
      <c r="AA1144" s="102"/>
      <c r="AB1144" s="102"/>
      <c r="AC1144" s="103"/>
    </row>
    <row r="1145" spans="27:29" ht="111.75" customHeight="1">
      <c r="AA1145" s="102"/>
      <c r="AB1145" s="102"/>
      <c r="AC1145" s="103"/>
    </row>
    <row r="1146" spans="27:29" ht="111.75" customHeight="1">
      <c r="AA1146" s="102"/>
      <c r="AB1146" s="102"/>
      <c r="AC1146" s="103"/>
    </row>
    <row r="1147" spans="27:29" ht="111.75" customHeight="1">
      <c r="AA1147" s="102"/>
      <c r="AB1147" s="102"/>
      <c r="AC1147" s="103"/>
    </row>
    <row r="1148" spans="27:29" ht="111.75" customHeight="1">
      <c r="AA1148" s="102"/>
      <c r="AB1148" s="102"/>
      <c r="AC1148" s="103"/>
    </row>
    <row r="1149" spans="27:29" ht="111.75" customHeight="1">
      <c r="AA1149" s="102"/>
      <c r="AB1149" s="102"/>
      <c r="AC1149" s="103"/>
    </row>
    <row r="1150" spans="27:29" ht="111.75" customHeight="1">
      <c r="AA1150" s="102"/>
      <c r="AB1150" s="102"/>
      <c r="AC1150" s="103"/>
    </row>
    <row r="1151" spans="27:29" ht="111.75" customHeight="1">
      <c r="AA1151" s="102"/>
      <c r="AB1151" s="102"/>
      <c r="AC1151" s="103"/>
    </row>
    <row r="1152" spans="27:29" ht="111.75" customHeight="1">
      <c r="AA1152" s="102"/>
      <c r="AB1152" s="102"/>
      <c r="AC1152" s="103"/>
    </row>
    <row r="1153" spans="27:29" ht="111.75" customHeight="1">
      <c r="AA1153" s="102"/>
      <c r="AB1153" s="102"/>
      <c r="AC1153" s="103"/>
    </row>
    <row r="1154" spans="27:29" ht="111.75" customHeight="1">
      <c r="AA1154" s="102"/>
      <c r="AB1154" s="102"/>
      <c r="AC1154" s="103"/>
    </row>
    <row r="1155" spans="27:29" ht="111.75" customHeight="1">
      <c r="AA1155" s="102"/>
      <c r="AB1155" s="102"/>
      <c r="AC1155" s="103"/>
    </row>
    <row r="1156" spans="27:29" ht="111.75" customHeight="1">
      <c r="AA1156" s="102"/>
      <c r="AB1156" s="102"/>
      <c r="AC1156" s="103"/>
    </row>
    <row r="1157" spans="27:29" ht="111.75" customHeight="1">
      <c r="AA1157" s="102"/>
      <c r="AB1157" s="102"/>
      <c r="AC1157" s="103"/>
    </row>
    <row r="1158" spans="27:29" ht="111.75" customHeight="1">
      <c r="AA1158" s="102"/>
      <c r="AB1158" s="102"/>
      <c r="AC1158" s="103"/>
    </row>
    <row r="1159" spans="27:29" ht="111.75" customHeight="1">
      <c r="AA1159" s="102"/>
      <c r="AB1159" s="102"/>
      <c r="AC1159" s="103"/>
    </row>
    <row r="1160" spans="27:29" ht="111.75" customHeight="1">
      <c r="AA1160" s="102"/>
      <c r="AB1160" s="102"/>
      <c r="AC1160" s="103"/>
    </row>
    <row r="1161" spans="27:29" ht="111.75" customHeight="1">
      <c r="AA1161" s="102"/>
      <c r="AB1161" s="102"/>
      <c r="AC1161" s="103"/>
    </row>
    <row r="1162" spans="27:29" ht="111.75" customHeight="1">
      <c r="AA1162" s="102"/>
      <c r="AB1162" s="102"/>
      <c r="AC1162" s="103"/>
    </row>
    <row r="1163" spans="27:29" ht="111.75" customHeight="1">
      <c r="AA1163" s="102"/>
      <c r="AB1163" s="102"/>
      <c r="AC1163" s="103"/>
    </row>
    <row r="1164" spans="27:29" ht="111.75" customHeight="1">
      <c r="AA1164" s="102"/>
      <c r="AB1164" s="102"/>
      <c r="AC1164" s="103"/>
    </row>
    <row r="1165" spans="27:29" ht="111.75" customHeight="1">
      <c r="AA1165" s="102"/>
      <c r="AB1165" s="102"/>
      <c r="AC1165" s="103"/>
    </row>
    <row r="1166" spans="27:29" ht="111.75" customHeight="1">
      <c r="AA1166" s="102"/>
      <c r="AB1166" s="102"/>
      <c r="AC1166" s="103"/>
    </row>
    <row r="1167" spans="27:29" ht="111.75" customHeight="1">
      <c r="AA1167" s="102"/>
      <c r="AB1167" s="102"/>
      <c r="AC1167" s="103"/>
    </row>
    <row r="1168" spans="27:29" ht="111.75" customHeight="1">
      <c r="AA1168" s="102"/>
      <c r="AB1168" s="102"/>
      <c r="AC1168" s="103"/>
    </row>
    <row r="1169" spans="27:29" ht="111.75" customHeight="1">
      <c r="AA1169" s="102"/>
      <c r="AB1169" s="102"/>
      <c r="AC1169" s="103"/>
    </row>
    <row r="1170" spans="27:29" ht="111.75" customHeight="1">
      <c r="AA1170" s="102"/>
      <c r="AB1170" s="102"/>
      <c r="AC1170" s="103"/>
    </row>
    <row r="1171" spans="27:29" ht="111.75" customHeight="1">
      <c r="AA1171" s="102"/>
      <c r="AB1171" s="102"/>
      <c r="AC1171" s="103"/>
    </row>
    <row r="1172" spans="27:29" ht="111.75" customHeight="1">
      <c r="AA1172" s="102"/>
      <c r="AB1172" s="102"/>
      <c r="AC1172" s="103"/>
    </row>
    <row r="1173" spans="27:29" ht="111.75" customHeight="1">
      <c r="AA1173" s="102"/>
      <c r="AB1173" s="102"/>
      <c r="AC1173" s="103"/>
    </row>
    <row r="1174" spans="27:29" ht="111.75" customHeight="1">
      <c r="AA1174" s="102"/>
      <c r="AB1174" s="102"/>
      <c r="AC1174" s="103"/>
    </row>
    <row r="1175" spans="27:29" ht="111.75" customHeight="1">
      <c r="AA1175" s="102"/>
      <c r="AB1175" s="102"/>
      <c r="AC1175" s="103"/>
    </row>
    <row r="1176" spans="27:29" ht="111.75" customHeight="1">
      <c r="AA1176" s="102"/>
      <c r="AB1176" s="102"/>
      <c r="AC1176" s="103"/>
    </row>
    <row r="1177" spans="27:29" ht="111.75" customHeight="1">
      <c r="AA1177" s="102"/>
      <c r="AB1177" s="102"/>
      <c r="AC1177" s="103"/>
    </row>
    <row r="1178" spans="27:29" ht="111.75" customHeight="1">
      <c r="AA1178" s="102"/>
      <c r="AB1178" s="102"/>
      <c r="AC1178" s="103"/>
    </row>
    <row r="1179" spans="27:29" ht="111.75" customHeight="1">
      <c r="AA1179" s="102"/>
      <c r="AB1179" s="102"/>
      <c r="AC1179" s="103"/>
    </row>
    <row r="1180" spans="27:29" ht="111.75" customHeight="1">
      <c r="AA1180" s="102"/>
      <c r="AB1180" s="102"/>
      <c r="AC1180" s="103"/>
    </row>
    <row r="1181" spans="27:29" ht="111.75" customHeight="1">
      <c r="AA1181" s="102"/>
      <c r="AB1181" s="102"/>
      <c r="AC1181" s="103"/>
    </row>
    <row r="1182" spans="27:29" ht="111.75" customHeight="1">
      <c r="AA1182" s="102"/>
      <c r="AB1182" s="102"/>
      <c r="AC1182" s="103"/>
    </row>
    <row r="1183" spans="27:29" ht="111.75" customHeight="1">
      <c r="AA1183" s="102"/>
      <c r="AB1183" s="102"/>
      <c r="AC1183" s="103"/>
    </row>
    <row r="1184" spans="27:29" ht="111.75" customHeight="1">
      <c r="AA1184" s="102"/>
      <c r="AB1184" s="102"/>
      <c r="AC1184" s="103"/>
    </row>
    <row r="1185" spans="27:29" ht="111.75" customHeight="1">
      <c r="AA1185" s="102"/>
      <c r="AB1185" s="102"/>
      <c r="AC1185" s="103"/>
    </row>
    <row r="1186" spans="27:29" ht="111.75" customHeight="1">
      <c r="AA1186" s="102"/>
      <c r="AB1186" s="102"/>
      <c r="AC1186" s="103"/>
    </row>
    <row r="1187" spans="27:29" ht="111.75" customHeight="1">
      <c r="AA1187" s="102"/>
      <c r="AB1187" s="102"/>
      <c r="AC1187" s="103"/>
    </row>
    <row r="1188" spans="27:29" ht="111.75" customHeight="1">
      <c r="AA1188" s="102"/>
      <c r="AB1188" s="102"/>
      <c r="AC1188" s="103"/>
    </row>
    <row r="1189" spans="27:29" ht="111.75" customHeight="1">
      <c r="AA1189" s="102"/>
      <c r="AB1189" s="102"/>
      <c r="AC1189" s="103"/>
    </row>
    <row r="1190" spans="27:29" ht="111.75" customHeight="1">
      <c r="AA1190" s="102"/>
      <c r="AB1190" s="102"/>
      <c r="AC1190" s="103"/>
    </row>
    <row r="1191" spans="27:29" ht="111.75" customHeight="1">
      <c r="AA1191" s="102"/>
      <c r="AB1191" s="102"/>
      <c r="AC1191" s="103"/>
    </row>
    <row r="1192" spans="27:29" ht="111.75" customHeight="1">
      <c r="AA1192" s="102"/>
      <c r="AB1192" s="102"/>
      <c r="AC1192" s="103"/>
    </row>
    <row r="1193" spans="27:29" ht="111.75" customHeight="1">
      <c r="AA1193" s="102"/>
      <c r="AB1193" s="102"/>
      <c r="AC1193" s="103"/>
    </row>
    <row r="1194" spans="27:29" ht="111.75" customHeight="1">
      <c r="AA1194" s="102"/>
      <c r="AB1194" s="102"/>
      <c r="AC1194" s="103"/>
    </row>
    <row r="1195" spans="27:29" ht="111.75" customHeight="1">
      <c r="AA1195" s="102"/>
      <c r="AB1195" s="102"/>
      <c r="AC1195" s="103"/>
    </row>
    <row r="1196" spans="27:29" ht="111.75" customHeight="1">
      <c r="AA1196" s="102"/>
      <c r="AB1196" s="102"/>
      <c r="AC1196" s="103"/>
    </row>
    <row r="1197" spans="27:29" ht="111.75" customHeight="1">
      <c r="AA1197" s="102"/>
      <c r="AB1197" s="102"/>
      <c r="AC1197" s="103"/>
    </row>
    <row r="1198" spans="27:29" ht="111.75" customHeight="1">
      <c r="AA1198" s="102"/>
      <c r="AB1198" s="102"/>
      <c r="AC1198" s="103"/>
    </row>
    <row r="1199" spans="27:29" ht="111.75" customHeight="1">
      <c r="AA1199" s="102"/>
      <c r="AB1199" s="102"/>
      <c r="AC1199" s="103"/>
    </row>
    <row r="1200" spans="27:29" ht="111.75" customHeight="1">
      <c r="AA1200" s="102"/>
      <c r="AB1200" s="102"/>
      <c r="AC1200" s="103"/>
    </row>
    <row r="1201" spans="27:29" ht="111.75" customHeight="1">
      <c r="AA1201" s="102"/>
      <c r="AB1201" s="102"/>
      <c r="AC1201" s="103"/>
    </row>
    <row r="1202" spans="27:29" ht="111.75" customHeight="1">
      <c r="AA1202" s="102"/>
      <c r="AB1202" s="102"/>
      <c r="AC1202" s="103"/>
    </row>
    <row r="1203" spans="27:29" ht="111.75" customHeight="1">
      <c r="AA1203" s="102"/>
      <c r="AB1203" s="102"/>
      <c r="AC1203" s="103"/>
    </row>
    <row r="1204" spans="27:29" ht="111.75" customHeight="1">
      <c r="AA1204" s="102"/>
      <c r="AB1204" s="102"/>
      <c r="AC1204" s="103"/>
    </row>
    <row r="1205" spans="27:29" ht="111.75" customHeight="1">
      <c r="AA1205" s="102"/>
      <c r="AB1205" s="102"/>
      <c r="AC1205" s="103"/>
    </row>
    <row r="1206" spans="27:29" ht="111.75" customHeight="1">
      <c r="AA1206" s="102"/>
      <c r="AB1206" s="102"/>
      <c r="AC1206" s="103"/>
    </row>
    <row r="1207" spans="27:29" ht="111.75" customHeight="1">
      <c r="AA1207" s="102"/>
      <c r="AB1207" s="102"/>
      <c r="AC1207" s="103"/>
    </row>
    <row r="1208" spans="27:29" ht="111.75" customHeight="1">
      <c r="AA1208" s="102"/>
      <c r="AB1208" s="102"/>
      <c r="AC1208" s="103"/>
    </row>
    <row r="1209" spans="27:29" ht="111.75" customHeight="1">
      <c r="AA1209" s="102"/>
      <c r="AB1209" s="102"/>
      <c r="AC1209" s="103"/>
    </row>
    <row r="1210" spans="27:29" ht="111.75" customHeight="1">
      <c r="AA1210" s="102"/>
      <c r="AB1210" s="102"/>
      <c r="AC1210" s="103"/>
    </row>
    <row r="1211" spans="27:29" ht="111.75" customHeight="1">
      <c r="AA1211" s="102"/>
      <c r="AB1211" s="102"/>
      <c r="AC1211" s="103"/>
    </row>
    <row r="1212" spans="27:29" ht="111.75" customHeight="1">
      <c r="AA1212" s="102"/>
      <c r="AB1212" s="102"/>
      <c r="AC1212" s="103"/>
    </row>
    <row r="1213" spans="27:29" ht="111.75" customHeight="1">
      <c r="AA1213" s="102"/>
      <c r="AB1213" s="102"/>
      <c r="AC1213" s="103"/>
    </row>
    <row r="1214" spans="27:29" ht="111.75" customHeight="1">
      <c r="AA1214" s="102"/>
      <c r="AB1214" s="102"/>
      <c r="AC1214" s="103"/>
    </row>
    <row r="1215" spans="27:29" ht="111.75" customHeight="1">
      <c r="AA1215" s="102"/>
      <c r="AB1215" s="102"/>
      <c r="AC1215" s="103"/>
    </row>
    <row r="1216" spans="27:29" ht="111.75" customHeight="1">
      <c r="AA1216" s="102"/>
      <c r="AB1216" s="102"/>
      <c r="AC1216" s="103"/>
    </row>
    <row r="1217" spans="27:29" ht="111.75" customHeight="1">
      <c r="AA1217" s="102"/>
      <c r="AB1217" s="102"/>
      <c r="AC1217" s="103"/>
    </row>
    <row r="1218" spans="27:29" ht="111.75" customHeight="1">
      <c r="AA1218" s="102"/>
      <c r="AB1218" s="102"/>
      <c r="AC1218" s="103"/>
    </row>
    <row r="1219" spans="27:29" ht="111.75" customHeight="1">
      <c r="AA1219" s="102"/>
      <c r="AB1219" s="102"/>
      <c r="AC1219" s="103"/>
    </row>
    <row r="1220" spans="27:29" ht="111.75" customHeight="1">
      <c r="AA1220" s="102"/>
      <c r="AB1220" s="102"/>
      <c r="AC1220" s="103"/>
    </row>
    <row r="1221" spans="27:29" ht="111.75" customHeight="1">
      <c r="AA1221" s="102"/>
      <c r="AB1221" s="102"/>
      <c r="AC1221" s="103"/>
    </row>
    <row r="1222" spans="27:29" ht="111.75" customHeight="1">
      <c r="AA1222" s="102"/>
      <c r="AB1222" s="102"/>
      <c r="AC1222" s="103"/>
    </row>
    <row r="1223" spans="27:29" ht="111.75" customHeight="1">
      <c r="AA1223" s="102"/>
      <c r="AB1223" s="102"/>
      <c r="AC1223" s="103"/>
    </row>
    <row r="1224" spans="27:29" ht="111.75" customHeight="1">
      <c r="AA1224" s="102"/>
      <c r="AB1224" s="102"/>
      <c r="AC1224" s="103"/>
    </row>
    <row r="1225" spans="27:29" ht="111.75" customHeight="1">
      <c r="AA1225" s="102"/>
      <c r="AB1225" s="102"/>
      <c r="AC1225" s="103"/>
    </row>
    <row r="1226" spans="27:29" ht="111.75" customHeight="1">
      <c r="AA1226" s="102"/>
      <c r="AB1226" s="102"/>
      <c r="AC1226" s="103"/>
    </row>
    <row r="1227" spans="27:29" ht="111.75" customHeight="1">
      <c r="AA1227" s="102"/>
      <c r="AB1227" s="102"/>
      <c r="AC1227" s="103"/>
    </row>
    <row r="1228" spans="27:29" ht="111.75" customHeight="1">
      <c r="AA1228" s="102"/>
      <c r="AB1228" s="102"/>
      <c r="AC1228" s="103"/>
    </row>
    <row r="1229" spans="27:29" ht="111.75" customHeight="1">
      <c r="AA1229" s="102"/>
      <c r="AB1229" s="102"/>
      <c r="AC1229" s="103"/>
    </row>
    <row r="1230" spans="27:29" ht="111.75" customHeight="1">
      <c r="AA1230" s="102"/>
      <c r="AB1230" s="102"/>
      <c r="AC1230" s="103"/>
    </row>
    <row r="1231" spans="27:29" ht="111.75" customHeight="1">
      <c r="AA1231" s="102"/>
      <c r="AB1231" s="102"/>
      <c r="AC1231" s="103"/>
    </row>
    <row r="1232" spans="27:29" ht="111.75" customHeight="1">
      <c r="AA1232" s="102"/>
      <c r="AB1232" s="102"/>
      <c r="AC1232" s="103"/>
    </row>
    <row r="1233" spans="27:29" ht="111.75" customHeight="1">
      <c r="AA1233" s="102"/>
      <c r="AB1233" s="102"/>
      <c r="AC1233" s="103"/>
    </row>
    <row r="1234" spans="27:29" ht="111.75" customHeight="1">
      <c r="AA1234" s="102"/>
      <c r="AB1234" s="102"/>
      <c r="AC1234" s="103"/>
    </row>
    <row r="1235" spans="27:29" ht="111.75" customHeight="1">
      <c r="AA1235" s="102"/>
      <c r="AB1235" s="102"/>
      <c r="AC1235" s="103"/>
    </row>
    <row r="1236" spans="27:29" ht="111.75" customHeight="1">
      <c r="AA1236" s="102"/>
      <c r="AB1236" s="102"/>
      <c r="AC1236" s="103"/>
    </row>
    <row r="1237" spans="27:29" ht="111.75" customHeight="1">
      <c r="AA1237" s="102"/>
      <c r="AB1237" s="102"/>
      <c r="AC1237" s="103"/>
    </row>
    <row r="1238" spans="27:29" ht="111.75" customHeight="1">
      <c r="AA1238" s="102"/>
      <c r="AB1238" s="102"/>
      <c r="AC1238" s="103"/>
    </row>
    <row r="1239" spans="27:29" ht="111.75" customHeight="1">
      <c r="AA1239" s="102"/>
      <c r="AB1239" s="102"/>
      <c r="AC1239" s="103"/>
    </row>
    <row r="1240" spans="27:29" ht="111.75" customHeight="1">
      <c r="AA1240" s="102"/>
      <c r="AB1240" s="102"/>
      <c r="AC1240" s="103"/>
    </row>
    <row r="1241" spans="27:29" ht="111.75" customHeight="1">
      <c r="AA1241" s="102"/>
      <c r="AB1241" s="102"/>
      <c r="AC1241" s="103"/>
    </row>
    <row r="1242" spans="27:29" ht="111.75" customHeight="1">
      <c r="AA1242" s="102"/>
      <c r="AB1242" s="102"/>
      <c r="AC1242" s="103"/>
    </row>
    <row r="1243" spans="27:29" ht="111.75" customHeight="1">
      <c r="AA1243" s="102"/>
      <c r="AB1243" s="102"/>
      <c r="AC1243" s="103"/>
    </row>
    <row r="1244" spans="27:29" ht="111.75" customHeight="1">
      <c r="AA1244" s="102"/>
      <c r="AB1244" s="102"/>
      <c r="AC1244" s="103"/>
    </row>
    <row r="1245" spans="27:29" ht="111.75" customHeight="1">
      <c r="AA1245" s="102"/>
      <c r="AB1245" s="102"/>
      <c r="AC1245" s="103"/>
    </row>
    <row r="1246" spans="27:29" ht="111.75" customHeight="1">
      <c r="AA1246" s="102"/>
      <c r="AB1246" s="102"/>
      <c r="AC1246" s="103"/>
    </row>
    <row r="1247" spans="27:29" ht="111.75" customHeight="1">
      <c r="AA1247" s="102"/>
      <c r="AB1247" s="102"/>
      <c r="AC1247" s="103"/>
    </row>
    <row r="1248" spans="27:29" ht="111.75" customHeight="1">
      <c r="AA1248" s="102"/>
      <c r="AB1248" s="102"/>
      <c r="AC1248" s="103"/>
    </row>
    <row r="1249" spans="27:29" ht="111.75" customHeight="1">
      <c r="AA1249" s="102"/>
      <c r="AB1249" s="102"/>
      <c r="AC1249" s="103"/>
    </row>
    <row r="1250" spans="27:29" ht="111.75" customHeight="1">
      <c r="AA1250" s="102"/>
      <c r="AB1250" s="102"/>
      <c r="AC1250" s="103"/>
    </row>
    <row r="1251" spans="27:29" ht="111.75" customHeight="1">
      <c r="AA1251" s="102"/>
      <c r="AB1251" s="102"/>
      <c r="AC1251" s="103"/>
    </row>
    <row r="1252" spans="27:29" ht="111.75" customHeight="1">
      <c r="AA1252" s="102"/>
      <c r="AB1252" s="102"/>
      <c r="AC1252" s="103"/>
    </row>
    <row r="1253" spans="27:29" ht="111.75" customHeight="1">
      <c r="AA1253" s="102"/>
      <c r="AB1253" s="102"/>
      <c r="AC1253" s="103"/>
    </row>
    <row r="1254" spans="27:29" ht="111.75" customHeight="1">
      <c r="AA1254" s="102"/>
      <c r="AB1254" s="102"/>
      <c r="AC1254" s="103"/>
    </row>
    <row r="1255" spans="27:29" ht="111.75" customHeight="1">
      <c r="AA1255" s="102"/>
      <c r="AB1255" s="102"/>
      <c r="AC1255" s="103"/>
    </row>
    <row r="1256" spans="27:29" ht="111.75" customHeight="1">
      <c r="AA1256" s="102"/>
      <c r="AB1256" s="102"/>
      <c r="AC1256" s="103"/>
    </row>
    <row r="1257" spans="27:29" ht="111.75" customHeight="1">
      <c r="AA1257" s="102"/>
      <c r="AB1257" s="102"/>
      <c r="AC1257" s="103"/>
    </row>
    <row r="1258" spans="27:29" ht="111.75" customHeight="1">
      <c r="AA1258" s="102"/>
      <c r="AB1258" s="102"/>
      <c r="AC1258" s="103"/>
    </row>
    <row r="1259" spans="27:29" ht="111.75" customHeight="1">
      <c r="AA1259" s="102"/>
      <c r="AB1259" s="102"/>
      <c r="AC1259" s="103"/>
    </row>
    <row r="1260" spans="27:29" ht="111.75" customHeight="1">
      <c r="AA1260" s="102"/>
      <c r="AB1260" s="102"/>
      <c r="AC1260" s="103"/>
    </row>
    <row r="1261" spans="27:29" ht="111.75" customHeight="1">
      <c r="AA1261" s="102"/>
      <c r="AB1261" s="102"/>
      <c r="AC1261" s="103"/>
    </row>
    <row r="1262" spans="27:29" ht="111.75" customHeight="1">
      <c r="AA1262" s="102"/>
      <c r="AB1262" s="102"/>
      <c r="AC1262" s="103"/>
    </row>
    <row r="1263" spans="27:29" ht="111.75" customHeight="1">
      <c r="AA1263" s="102"/>
      <c r="AB1263" s="102"/>
      <c r="AC1263" s="103"/>
    </row>
    <row r="1264" spans="27:29" ht="111.75" customHeight="1">
      <c r="AA1264" s="102"/>
      <c r="AB1264" s="102"/>
      <c r="AC1264" s="103"/>
    </row>
    <row r="1265" spans="27:29" ht="111.75" customHeight="1">
      <c r="AA1265" s="102"/>
      <c r="AB1265" s="102"/>
      <c r="AC1265" s="103"/>
    </row>
    <row r="1266" spans="27:29" ht="111.75" customHeight="1">
      <c r="AA1266" s="102"/>
      <c r="AB1266" s="102"/>
      <c r="AC1266" s="103"/>
    </row>
    <row r="1267" spans="27:29" ht="111.75" customHeight="1">
      <c r="AA1267" s="102"/>
      <c r="AB1267" s="102"/>
      <c r="AC1267" s="103"/>
    </row>
    <row r="1268" spans="27:29" ht="111.75" customHeight="1">
      <c r="AA1268" s="102"/>
      <c r="AB1268" s="102"/>
      <c r="AC1268" s="103"/>
    </row>
    <row r="1269" spans="27:29" ht="111.75" customHeight="1">
      <c r="AA1269" s="102"/>
      <c r="AB1269" s="102"/>
      <c r="AC1269" s="103"/>
    </row>
    <row r="1270" spans="27:29" ht="111.75" customHeight="1">
      <c r="AA1270" s="102"/>
      <c r="AB1270" s="102"/>
      <c r="AC1270" s="103"/>
    </row>
    <row r="1271" spans="27:29" ht="111.75" customHeight="1">
      <c r="AA1271" s="102"/>
      <c r="AB1271" s="102"/>
      <c r="AC1271" s="103"/>
    </row>
    <row r="1272" spans="27:29" ht="111.75" customHeight="1">
      <c r="AA1272" s="102"/>
      <c r="AB1272" s="102"/>
      <c r="AC1272" s="103"/>
    </row>
    <row r="1273" spans="27:29" ht="111.75" customHeight="1">
      <c r="AA1273" s="102"/>
      <c r="AB1273" s="102"/>
      <c r="AC1273" s="103"/>
    </row>
    <row r="1274" spans="27:29" ht="111.75" customHeight="1">
      <c r="AA1274" s="102"/>
      <c r="AB1274" s="102"/>
      <c r="AC1274" s="103"/>
    </row>
    <row r="1275" spans="27:29" ht="111.75" customHeight="1">
      <c r="AA1275" s="102"/>
      <c r="AB1275" s="102"/>
      <c r="AC1275" s="103"/>
    </row>
    <row r="1276" spans="27:29" ht="111.75" customHeight="1">
      <c r="AA1276" s="102"/>
      <c r="AB1276" s="102"/>
      <c r="AC1276" s="103"/>
    </row>
    <row r="1277" spans="27:29" ht="111.75" customHeight="1">
      <c r="AA1277" s="102"/>
      <c r="AB1277" s="102"/>
      <c r="AC1277" s="103"/>
    </row>
    <row r="1278" spans="27:29" ht="111.75" customHeight="1">
      <c r="AA1278" s="102"/>
      <c r="AB1278" s="102"/>
      <c r="AC1278" s="103"/>
    </row>
    <row r="1279" spans="27:29" ht="111.75" customHeight="1">
      <c r="AA1279" s="102"/>
      <c r="AB1279" s="102"/>
      <c r="AC1279" s="103"/>
    </row>
    <row r="1280" spans="27:29" ht="111.75" customHeight="1">
      <c r="AA1280" s="102"/>
      <c r="AB1280" s="102"/>
      <c r="AC1280" s="103"/>
    </row>
    <row r="1281" spans="27:29" ht="111.75" customHeight="1">
      <c r="AA1281" s="102"/>
      <c r="AB1281" s="102"/>
      <c r="AC1281" s="103"/>
    </row>
    <row r="1282" spans="27:29" ht="111.75" customHeight="1">
      <c r="AA1282" s="102"/>
      <c r="AB1282" s="102"/>
      <c r="AC1282" s="103"/>
    </row>
    <row r="1283" spans="27:29" ht="111.75" customHeight="1">
      <c r="AA1283" s="102"/>
      <c r="AB1283" s="102"/>
      <c r="AC1283" s="103"/>
    </row>
    <row r="1284" spans="27:29" ht="111.75" customHeight="1">
      <c r="AA1284" s="102"/>
      <c r="AB1284" s="102"/>
      <c r="AC1284" s="103"/>
    </row>
    <row r="1285" spans="27:29" ht="111.75" customHeight="1">
      <c r="AA1285" s="102"/>
      <c r="AB1285" s="102"/>
      <c r="AC1285" s="103"/>
    </row>
    <row r="1286" spans="27:29" ht="111.75" customHeight="1">
      <c r="AA1286" s="102"/>
      <c r="AB1286" s="102"/>
      <c r="AC1286" s="103"/>
    </row>
    <row r="1287" spans="27:29" ht="111.75" customHeight="1">
      <c r="AA1287" s="102"/>
      <c r="AB1287" s="102"/>
      <c r="AC1287" s="103"/>
    </row>
    <row r="1288" spans="27:29" ht="111.75" customHeight="1">
      <c r="AA1288" s="102"/>
      <c r="AB1288" s="102"/>
      <c r="AC1288" s="103"/>
    </row>
    <row r="1289" spans="27:29" ht="111.75" customHeight="1">
      <c r="AA1289" s="102"/>
      <c r="AB1289" s="102"/>
      <c r="AC1289" s="103"/>
    </row>
    <row r="1290" spans="27:29" ht="111.75" customHeight="1">
      <c r="AA1290" s="102"/>
      <c r="AB1290" s="102"/>
      <c r="AC1290" s="103"/>
    </row>
    <row r="1291" spans="27:29" ht="111.75" customHeight="1">
      <c r="AA1291" s="102"/>
      <c r="AB1291" s="102"/>
      <c r="AC1291" s="103"/>
    </row>
    <row r="1292" spans="27:29" ht="111.75" customHeight="1">
      <c r="AA1292" s="102"/>
      <c r="AB1292" s="102"/>
      <c r="AC1292" s="103"/>
    </row>
    <row r="1293" spans="27:29" ht="111.75" customHeight="1">
      <c r="AA1293" s="102"/>
      <c r="AB1293" s="102"/>
      <c r="AC1293" s="103"/>
    </row>
    <row r="1294" spans="27:29" ht="111.75" customHeight="1">
      <c r="AA1294" s="102"/>
      <c r="AB1294" s="102"/>
      <c r="AC1294" s="103"/>
    </row>
    <row r="1295" spans="27:29" ht="111.75" customHeight="1">
      <c r="AA1295" s="102"/>
      <c r="AB1295" s="102"/>
      <c r="AC1295" s="103"/>
    </row>
    <row r="1296" spans="27:29" ht="111.75" customHeight="1">
      <c r="AA1296" s="102"/>
      <c r="AB1296" s="102"/>
      <c r="AC1296" s="103"/>
    </row>
    <row r="1297" spans="27:29" ht="111.75" customHeight="1">
      <c r="AA1297" s="102"/>
      <c r="AB1297" s="102"/>
      <c r="AC1297" s="103"/>
    </row>
    <row r="1298" spans="27:29" ht="111.75" customHeight="1">
      <c r="AA1298" s="102"/>
      <c r="AB1298" s="102"/>
      <c r="AC1298" s="103"/>
    </row>
    <row r="1299" spans="27:29" ht="111.75" customHeight="1">
      <c r="AA1299" s="102"/>
      <c r="AB1299" s="102"/>
      <c r="AC1299" s="103"/>
    </row>
    <row r="1300" spans="27:29" ht="111.75" customHeight="1">
      <c r="AA1300" s="102"/>
      <c r="AB1300" s="102"/>
      <c r="AC1300" s="103"/>
    </row>
    <row r="1301" spans="27:29" ht="111.75" customHeight="1">
      <c r="AA1301" s="102"/>
      <c r="AB1301" s="102"/>
      <c r="AC1301" s="103"/>
    </row>
    <row r="1302" spans="27:29" ht="111.75" customHeight="1">
      <c r="AA1302" s="102"/>
      <c r="AB1302" s="102"/>
      <c r="AC1302" s="103"/>
    </row>
    <row r="1303" spans="27:29" ht="111.75" customHeight="1">
      <c r="AA1303" s="102"/>
      <c r="AB1303" s="102"/>
      <c r="AC1303" s="103"/>
    </row>
    <row r="1304" spans="27:29" ht="111.75" customHeight="1">
      <c r="AA1304" s="102"/>
      <c r="AB1304" s="102"/>
      <c r="AC1304" s="103"/>
    </row>
    <row r="1305" spans="27:29" ht="111.75" customHeight="1">
      <c r="AA1305" s="102"/>
      <c r="AB1305" s="102"/>
      <c r="AC1305" s="103"/>
    </row>
    <row r="1306" spans="27:29" ht="111.75" customHeight="1">
      <c r="AA1306" s="102"/>
      <c r="AB1306" s="102"/>
      <c r="AC1306" s="103"/>
    </row>
    <row r="1307" spans="27:29" ht="111.75" customHeight="1">
      <c r="AA1307" s="102"/>
      <c r="AB1307" s="102"/>
      <c r="AC1307" s="103"/>
    </row>
    <row r="1308" spans="27:29" ht="111.75" customHeight="1">
      <c r="AA1308" s="102"/>
      <c r="AB1308" s="102"/>
      <c r="AC1308" s="103"/>
    </row>
    <row r="1309" spans="27:29" ht="111.75" customHeight="1">
      <c r="AA1309" s="102"/>
      <c r="AB1309" s="102"/>
      <c r="AC1309" s="103"/>
    </row>
    <row r="1310" spans="27:29" ht="111.75" customHeight="1">
      <c r="AA1310" s="102"/>
      <c r="AB1310" s="102"/>
      <c r="AC1310" s="103"/>
    </row>
    <row r="1311" spans="27:29" ht="111.75" customHeight="1">
      <c r="AA1311" s="102"/>
      <c r="AB1311" s="102"/>
      <c r="AC1311" s="103"/>
    </row>
    <row r="1312" spans="27:29" ht="111.75" customHeight="1">
      <c r="AA1312" s="102"/>
      <c r="AB1312" s="102"/>
      <c r="AC1312" s="103"/>
    </row>
    <row r="1313" spans="27:29" ht="111.75" customHeight="1">
      <c r="AA1313" s="102"/>
      <c r="AB1313" s="102"/>
      <c r="AC1313" s="103"/>
    </row>
    <row r="1314" spans="27:29" ht="111.75" customHeight="1">
      <c r="AA1314" s="102"/>
      <c r="AB1314" s="102"/>
      <c r="AC1314" s="103"/>
    </row>
    <row r="1315" spans="27:29" ht="111.75" customHeight="1">
      <c r="AA1315" s="102"/>
      <c r="AB1315" s="102"/>
      <c r="AC1315" s="103"/>
    </row>
    <row r="1316" spans="27:29" ht="111.75" customHeight="1">
      <c r="AA1316" s="102"/>
      <c r="AB1316" s="102"/>
      <c r="AC1316" s="103"/>
    </row>
    <row r="1317" spans="27:29" ht="111.75" customHeight="1">
      <c r="AA1317" s="102"/>
      <c r="AB1317" s="102"/>
      <c r="AC1317" s="103"/>
    </row>
    <row r="1318" spans="27:29" ht="111.75" customHeight="1">
      <c r="AA1318" s="102"/>
      <c r="AB1318" s="102"/>
      <c r="AC1318" s="103"/>
    </row>
    <row r="1319" spans="27:29" ht="111.75" customHeight="1">
      <c r="AA1319" s="102"/>
      <c r="AB1319" s="102"/>
      <c r="AC1319" s="103"/>
    </row>
    <row r="1320" spans="27:29" ht="111.75" customHeight="1">
      <c r="AA1320" s="102"/>
      <c r="AB1320" s="102"/>
      <c r="AC1320" s="103"/>
    </row>
    <row r="1321" spans="27:29" ht="111.75" customHeight="1">
      <c r="AA1321" s="102"/>
      <c r="AB1321" s="102"/>
      <c r="AC1321" s="103"/>
    </row>
    <row r="1322" spans="27:29" ht="111.75" customHeight="1">
      <c r="AA1322" s="102"/>
      <c r="AB1322" s="102"/>
      <c r="AC1322" s="103"/>
    </row>
    <row r="1323" spans="27:29" ht="111.75" customHeight="1">
      <c r="AA1323" s="102"/>
      <c r="AB1323" s="102"/>
      <c r="AC1323" s="103"/>
    </row>
    <row r="1324" spans="27:29" ht="111.75" customHeight="1">
      <c r="AA1324" s="102"/>
      <c r="AB1324" s="102"/>
      <c r="AC1324" s="103"/>
    </row>
    <row r="1325" spans="27:29" ht="111.75" customHeight="1">
      <c r="AA1325" s="102"/>
      <c r="AB1325" s="102"/>
      <c r="AC1325" s="103"/>
    </row>
    <row r="1326" spans="27:29" ht="111.75" customHeight="1">
      <c r="AA1326" s="102"/>
      <c r="AB1326" s="102"/>
      <c r="AC1326" s="103"/>
    </row>
    <row r="1327" spans="27:29" ht="111.75" customHeight="1">
      <c r="AA1327" s="102"/>
      <c r="AB1327" s="102"/>
      <c r="AC1327" s="103"/>
    </row>
    <row r="1328" spans="27:29" ht="111.75" customHeight="1">
      <c r="AA1328" s="102"/>
      <c r="AB1328" s="102"/>
      <c r="AC1328" s="103"/>
    </row>
    <row r="1329" spans="27:29" ht="111.75" customHeight="1">
      <c r="AA1329" s="102"/>
      <c r="AB1329" s="102"/>
      <c r="AC1329" s="103"/>
    </row>
    <row r="1330" spans="27:29" ht="111.75" customHeight="1">
      <c r="AA1330" s="102"/>
      <c r="AB1330" s="102"/>
      <c r="AC1330" s="103"/>
    </row>
    <row r="1331" spans="27:29" ht="111.75" customHeight="1">
      <c r="AA1331" s="102"/>
      <c r="AB1331" s="102"/>
      <c r="AC1331" s="103"/>
    </row>
    <row r="1332" spans="27:29" ht="111.75" customHeight="1">
      <c r="AA1332" s="102"/>
      <c r="AB1332" s="102"/>
      <c r="AC1332" s="103"/>
    </row>
    <row r="1333" spans="27:29" ht="111.75" customHeight="1">
      <c r="AA1333" s="102"/>
      <c r="AB1333" s="102"/>
      <c r="AC1333" s="103"/>
    </row>
    <row r="1334" spans="27:29" ht="111.75" customHeight="1">
      <c r="AA1334" s="102"/>
      <c r="AB1334" s="102"/>
      <c r="AC1334" s="103"/>
    </row>
    <row r="1335" spans="27:29" ht="111.75" customHeight="1">
      <c r="AA1335" s="102"/>
      <c r="AB1335" s="102"/>
      <c r="AC1335" s="103"/>
    </row>
    <row r="1336" spans="27:29" ht="111.75" customHeight="1">
      <c r="AA1336" s="102"/>
      <c r="AB1336" s="102"/>
      <c r="AC1336" s="103"/>
    </row>
    <row r="1337" spans="27:29" ht="111.75" customHeight="1">
      <c r="AA1337" s="102"/>
      <c r="AB1337" s="102"/>
      <c r="AC1337" s="103"/>
    </row>
    <row r="1338" spans="27:29" ht="111.75" customHeight="1">
      <c r="AA1338" s="102"/>
      <c r="AB1338" s="102"/>
      <c r="AC1338" s="103"/>
    </row>
    <row r="1339" spans="27:29" ht="111.75" customHeight="1">
      <c r="AA1339" s="102"/>
      <c r="AB1339" s="102"/>
      <c r="AC1339" s="103"/>
    </row>
    <row r="1340" spans="27:29" ht="111.75" customHeight="1">
      <c r="AA1340" s="102"/>
      <c r="AB1340" s="102"/>
      <c r="AC1340" s="103"/>
    </row>
    <row r="1341" spans="27:29" ht="111.75" customHeight="1">
      <c r="AA1341" s="102"/>
      <c r="AB1341" s="102"/>
      <c r="AC1341" s="103"/>
    </row>
    <row r="1342" spans="27:29" ht="111.75" customHeight="1">
      <c r="AA1342" s="102"/>
      <c r="AB1342" s="102"/>
      <c r="AC1342" s="103"/>
    </row>
    <row r="1343" spans="27:29" ht="111.75" customHeight="1">
      <c r="AA1343" s="102"/>
      <c r="AB1343" s="102"/>
      <c r="AC1343" s="103"/>
    </row>
    <row r="1344" spans="27:29" ht="111.75" customHeight="1">
      <c r="AA1344" s="102"/>
      <c r="AB1344" s="102"/>
      <c r="AC1344" s="103"/>
    </row>
    <row r="1345" spans="27:29" ht="111.75" customHeight="1">
      <c r="AA1345" s="102"/>
      <c r="AB1345" s="102"/>
      <c r="AC1345" s="103"/>
    </row>
    <row r="1346" spans="27:29" ht="111.75" customHeight="1">
      <c r="AA1346" s="102"/>
      <c r="AB1346" s="102"/>
      <c r="AC1346" s="103"/>
    </row>
    <row r="1347" spans="27:29" ht="111.75" customHeight="1">
      <c r="AA1347" s="102"/>
      <c r="AB1347" s="102"/>
      <c r="AC1347" s="103"/>
    </row>
    <row r="1348" spans="27:29" ht="111.75" customHeight="1">
      <c r="AA1348" s="102"/>
      <c r="AB1348" s="102"/>
      <c r="AC1348" s="103"/>
    </row>
    <row r="1349" spans="27:29" ht="111.75" customHeight="1">
      <c r="AA1349" s="102"/>
      <c r="AB1349" s="102"/>
      <c r="AC1349" s="103"/>
    </row>
    <row r="1350" spans="27:29" ht="111.75" customHeight="1">
      <c r="AA1350" s="102"/>
      <c r="AB1350" s="102"/>
      <c r="AC1350" s="103"/>
    </row>
    <row r="1351" spans="27:29" ht="111.75" customHeight="1">
      <c r="AA1351" s="102"/>
      <c r="AB1351" s="102"/>
      <c r="AC1351" s="103"/>
    </row>
    <row r="1352" spans="27:29" ht="111.75" customHeight="1">
      <c r="AA1352" s="102"/>
      <c r="AB1352" s="102"/>
      <c r="AC1352" s="103"/>
    </row>
    <row r="1353" spans="27:29" ht="111.75" customHeight="1">
      <c r="AA1353" s="102"/>
      <c r="AB1353" s="102"/>
      <c r="AC1353" s="103"/>
    </row>
    <row r="1354" spans="27:29" ht="111.75" customHeight="1">
      <c r="AA1354" s="102"/>
      <c r="AB1354" s="102"/>
      <c r="AC1354" s="103"/>
    </row>
    <row r="1355" spans="27:29" ht="111.75" customHeight="1">
      <c r="AA1355" s="102"/>
      <c r="AB1355" s="102"/>
      <c r="AC1355" s="103"/>
    </row>
    <row r="1356" spans="27:29" ht="111.75" customHeight="1">
      <c r="AA1356" s="102"/>
      <c r="AB1356" s="102"/>
      <c r="AC1356" s="103"/>
    </row>
    <row r="1357" spans="27:29" ht="111.75" customHeight="1">
      <c r="AA1357" s="102"/>
      <c r="AB1357" s="102"/>
      <c r="AC1357" s="103"/>
    </row>
    <row r="1358" spans="27:29" ht="111.75" customHeight="1">
      <c r="AA1358" s="102"/>
      <c r="AB1358" s="102"/>
      <c r="AC1358" s="103"/>
    </row>
    <row r="1359" spans="27:29" ht="111.75" customHeight="1">
      <c r="AA1359" s="102"/>
      <c r="AB1359" s="102"/>
      <c r="AC1359" s="103"/>
    </row>
    <row r="1360" spans="27:29" ht="111.75" customHeight="1">
      <c r="AA1360" s="102"/>
      <c r="AB1360" s="102"/>
      <c r="AC1360" s="103"/>
    </row>
    <row r="1361" spans="27:29" ht="111.75" customHeight="1">
      <c r="AA1361" s="102"/>
      <c r="AB1361" s="102"/>
      <c r="AC1361" s="103"/>
    </row>
    <row r="1362" spans="27:29" ht="111.75" customHeight="1">
      <c r="AA1362" s="102"/>
      <c r="AB1362" s="102"/>
      <c r="AC1362" s="103"/>
    </row>
    <row r="1363" spans="27:29" ht="111.75" customHeight="1">
      <c r="AA1363" s="102"/>
      <c r="AB1363" s="102"/>
      <c r="AC1363" s="103"/>
    </row>
    <row r="1364" spans="27:29" ht="111.75" customHeight="1">
      <c r="AA1364" s="102"/>
      <c r="AB1364" s="102"/>
      <c r="AC1364" s="103"/>
    </row>
    <row r="1365" spans="27:29" ht="111.75" customHeight="1">
      <c r="AA1365" s="102"/>
      <c r="AB1365" s="102"/>
      <c r="AC1365" s="103"/>
    </row>
    <row r="1366" spans="27:29" ht="111.75" customHeight="1">
      <c r="AA1366" s="102"/>
      <c r="AB1366" s="102"/>
      <c r="AC1366" s="103"/>
    </row>
    <row r="1367" spans="27:29" ht="111.75" customHeight="1">
      <c r="AA1367" s="102"/>
      <c r="AB1367" s="102"/>
      <c r="AC1367" s="103"/>
    </row>
    <row r="1368" spans="27:29" ht="111.75" customHeight="1">
      <c r="AA1368" s="102"/>
      <c r="AB1368" s="102"/>
      <c r="AC1368" s="103"/>
    </row>
    <row r="1369" spans="27:29" ht="111.75" customHeight="1">
      <c r="AA1369" s="102"/>
      <c r="AB1369" s="102"/>
      <c r="AC1369" s="103"/>
    </row>
    <row r="1370" spans="27:29" ht="111.75" customHeight="1">
      <c r="AA1370" s="102"/>
      <c r="AB1370" s="102"/>
      <c r="AC1370" s="103"/>
    </row>
    <row r="1371" spans="27:29" ht="111.75" customHeight="1">
      <c r="AA1371" s="102"/>
      <c r="AB1371" s="102"/>
      <c r="AC1371" s="103"/>
    </row>
    <row r="1372" spans="27:29" ht="111.75" customHeight="1">
      <c r="AA1372" s="102"/>
      <c r="AB1372" s="102"/>
      <c r="AC1372" s="103"/>
    </row>
    <row r="1373" spans="27:29" ht="111.75" customHeight="1">
      <c r="AA1373" s="102"/>
      <c r="AB1373" s="102"/>
      <c r="AC1373" s="103"/>
    </row>
    <row r="1374" spans="27:29" ht="111.75" customHeight="1">
      <c r="AA1374" s="102"/>
      <c r="AB1374" s="102"/>
      <c r="AC1374" s="103"/>
    </row>
    <row r="1375" spans="27:29" ht="111.75" customHeight="1">
      <c r="AA1375" s="102"/>
      <c r="AB1375" s="102"/>
      <c r="AC1375" s="103"/>
    </row>
    <row r="1376" spans="27:29" ht="111.75" customHeight="1">
      <c r="AA1376" s="102"/>
      <c r="AB1376" s="102"/>
      <c r="AC1376" s="103"/>
    </row>
    <row r="1377" spans="27:29" ht="111.75" customHeight="1">
      <c r="AA1377" s="102"/>
      <c r="AB1377" s="102"/>
      <c r="AC1377" s="103"/>
    </row>
    <row r="1378" spans="27:29" ht="111.75" customHeight="1">
      <c r="AA1378" s="102"/>
      <c r="AB1378" s="102"/>
      <c r="AC1378" s="103"/>
    </row>
    <row r="1379" spans="27:29" ht="111.75" customHeight="1">
      <c r="AA1379" s="102"/>
      <c r="AB1379" s="102"/>
      <c r="AC1379" s="103"/>
    </row>
    <row r="1380" spans="27:29" ht="111.75" customHeight="1">
      <c r="AA1380" s="102"/>
      <c r="AB1380" s="102"/>
      <c r="AC1380" s="103"/>
    </row>
    <row r="1381" spans="27:29" ht="111.75" customHeight="1">
      <c r="AA1381" s="102"/>
      <c r="AB1381" s="102"/>
      <c r="AC1381" s="103"/>
    </row>
    <row r="1382" spans="27:29" ht="111.75" customHeight="1">
      <c r="AA1382" s="102"/>
      <c r="AB1382" s="102"/>
      <c r="AC1382" s="103"/>
    </row>
    <row r="1383" spans="27:29" ht="111.75" customHeight="1">
      <c r="AA1383" s="102"/>
      <c r="AB1383" s="102"/>
      <c r="AC1383" s="103"/>
    </row>
    <row r="1384" spans="27:29" ht="111.75" customHeight="1">
      <c r="AA1384" s="102"/>
      <c r="AB1384" s="102"/>
      <c r="AC1384" s="103"/>
    </row>
    <row r="1385" spans="27:29" ht="111.75" customHeight="1">
      <c r="AA1385" s="102"/>
      <c r="AB1385" s="102"/>
      <c r="AC1385" s="103"/>
    </row>
    <row r="1386" spans="27:29" ht="111.75" customHeight="1">
      <c r="AA1386" s="102"/>
      <c r="AB1386" s="102"/>
      <c r="AC1386" s="103"/>
    </row>
    <row r="1387" spans="27:29" ht="111.75" customHeight="1">
      <c r="AA1387" s="102"/>
      <c r="AB1387" s="102"/>
      <c r="AC1387" s="103"/>
    </row>
    <row r="1388" spans="27:29" ht="111.75" customHeight="1">
      <c r="AA1388" s="102"/>
      <c r="AB1388" s="102"/>
      <c r="AC1388" s="103"/>
    </row>
    <row r="1389" spans="27:29" ht="111.75" customHeight="1">
      <c r="AA1389" s="102"/>
      <c r="AB1389" s="102"/>
      <c r="AC1389" s="103"/>
    </row>
    <row r="1390" spans="27:29" ht="111.75" customHeight="1">
      <c r="AA1390" s="102"/>
      <c r="AB1390" s="102"/>
      <c r="AC1390" s="103"/>
    </row>
    <row r="1391" spans="27:29" ht="111.75" customHeight="1">
      <c r="AA1391" s="102"/>
      <c r="AB1391" s="102"/>
      <c r="AC1391" s="103"/>
    </row>
    <row r="1392" spans="27:29" ht="111.75" customHeight="1">
      <c r="AA1392" s="102"/>
      <c r="AB1392" s="102"/>
      <c r="AC1392" s="103"/>
    </row>
    <row r="1393" spans="27:29" ht="111.75" customHeight="1">
      <c r="AA1393" s="102"/>
      <c r="AB1393" s="102"/>
      <c r="AC1393" s="103"/>
    </row>
    <row r="1394" spans="27:29" ht="111.75" customHeight="1">
      <c r="AA1394" s="102"/>
      <c r="AB1394" s="102"/>
      <c r="AC1394" s="103"/>
    </row>
    <row r="1395" spans="27:29" ht="111.75" customHeight="1">
      <c r="AA1395" s="102"/>
      <c r="AB1395" s="102"/>
      <c r="AC1395" s="103"/>
    </row>
    <row r="1396" spans="27:29" ht="111.75" customHeight="1">
      <c r="AA1396" s="102"/>
      <c r="AB1396" s="102"/>
      <c r="AC1396" s="103"/>
    </row>
    <row r="1397" spans="27:29" ht="111.75" customHeight="1">
      <c r="AA1397" s="102"/>
      <c r="AB1397" s="102"/>
      <c r="AC1397" s="103"/>
    </row>
    <row r="1398" spans="27:29" ht="111.75" customHeight="1">
      <c r="AA1398" s="102"/>
      <c r="AB1398" s="102"/>
      <c r="AC1398" s="103"/>
    </row>
    <row r="1399" spans="27:29" ht="111.75" customHeight="1">
      <c r="AA1399" s="102"/>
      <c r="AB1399" s="102"/>
      <c r="AC1399" s="103"/>
    </row>
    <row r="1400" spans="27:29" ht="111.75" customHeight="1">
      <c r="AA1400" s="102"/>
      <c r="AB1400" s="102"/>
      <c r="AC1400" s="103"/>
    </row>
    <row r="1401" spans="27:29" ht="111.75" customHeight="1">
      <c r="AA1401" s="102"/>
      <c r="AB1401" s="102"/>
      <c r="AC1401" s="103"/>
    </row>
    <row r="1402" spans="27:29" ht="111.75" customHeight="1">
      <c r="AA1402" s="102"/>
      <c r="AB1402" s="102"/>
      <c r="AC1402" s="103"/>
    </row>
    <row r="1403" spans="27:29" ht="111.75" customHeight="1">
      <c r="AA1403" s="102"/>
      <c r="AB1403" s="102"/>
      <c r="AC1403" s="103"/>
    </row>
    <row r="1404" spans="27:29" ht="111.75" customHeight="1">
      <c r="AA1404" s="102"/>
      <c r="AB1404" s="102"/>
      <c r="AC1404" s="103"/>
    </row>
    <row r="1405" spans="27:29" ht="111.75" customHeight="1">
      <c r="AA1405" s="102"/>
      <c r="AB1405" s="102"/>
      <c r="AC1405" s="103"/>
    </row>
    <row r="1406" spans="27:29" ht="111.75" customHeight="1">
      <c r="AA1406" s="102"/>
      <c r="AB1406" s="102"/>
      <c r="AC1406" s="103"/>
    </row>
    <row r="1407" spans="27:29" ht="111.75" customHeight="1">
      <c r="AA1407" s="102"/>
      <c r="AB1407" s="102"/>
      <c r="AC1407" s="103"/>
    </row>
    <row r="1408" spans="27:29" ht="111.75" customHeight="1">
      <c r="AA1408" s="102"/>
      <c r="AB1408" s="102"/>
      <c r="AC1408" s="103"/>
    </row>
    <row r="1409" spans="27:29" ht="111.75" customHeight="1">
      <c r="AA1409" s="102"/>
      <c r="AB1409" s="102"/>
      <c r="AC1409" s="103"/>
    </row>
    <row r="1410" spans="27:29" ht="111.75" customHeight="1">
      <c r="AA1410" s="102"/>
      <c r="AB1410" s="102"/>
      <c r="AC1410" s="103"/>
    </row>
    <row r="1411" spans="27:29" ht="111.75" customHeight="1">
      <c r="AA1411" s="102"/>
      <c r="AB1411" s="102"/>
      <c r="AC1411" s="103"/>
    </row>
    <row r="1412" spans="27:29" ht="111.75" customHeight="1">
      <c r="AA1412" s="102"/>
      <c r="AB1412" s="102"/>
      <c r="AC1412" s="103"/>
    </row>
    <row r="1413" spans="27:29" ht="111.75" customHeight="1">
      <c r="AA1413" s="102"/>
      <c r="AB1413" s="102"/>
      <c r="AC1413" s="103"/>
    </row>
    <row r="1414" spans="27:29" ht="111.75" customHeight="1">
      <c r="AA1414" s="102"/>
      <c r="AB1414" s="102"/>
      <c r="AC1414" s="103"/>
    </row>
    <row r="1415" spans="27:29" ht="111.75" customHeight="1">
      <c r="AA1415" s="102"/>
      <c r="AB1415" s="102"/>
      <c r="AC1415" s="103"/>
    </row>
    <row r="1416" spans="27:29" ht="111.75" customHeight="1">
      <c r="AA1416" s="102"/>
      <c r="AB1416" s="102"/>
      <c r="AC1416" s="103"/>
    </row>
    <row r="1417" spans="27:29" ht="111.75" customHeight="1">
      <c r="AA1417" s="102"/>
      <c r="AB1417" s="102"/>
      <c r="AC1417" s="103"/>
    </row>
    <row r="1418" spans="27:29" ht="111.75" customHeight="1">
      <c r="AA1418" s="102"/>
      <c r="AB1418" s="102"/>
      <c r="AC1418" s="103"/>
    </row>
    <row r="1419" spans="27:29" ht="111.75" customHeight="1">
      <c r="AA1419" s="102"/>
      <c r="AB1419" s="102"/>
      <c r="AC1419" s="103"/>
    </row>
    <row r="1420" spans="27:29" ht="111.75" customHeight="1">
      <c r="AA1420" s="102"/>
      <c r="AB1420" s="102"/>
      <c r="AC1420" s="103"/>
    </row>
    <row r="1421" spans="27:29" ht="111.75" customHeight="1">
      <c r="AA1421" s="102"/>
      <c r="AB1421" s="102"/>
      <c r="AC1421" s="103"/>
    </row>
    <row r="1422" spans="27:29" ht="111.75" customHeight="1">
      <c r="AA1422" s="102"/>
      <c r="AB1422" s="102"/>
      <c r="AC1422" s="103"/>
    </row>
    <row r="1423" spans="27:29" ht="111.75" customHeight="1">
      <c r="AA1423" s="102"/>
      <c r="AB1423" s="102"/>
      <c r="AC1423" s="103"/>
    </row>
    <row r="1424" spans="27:29" ht="111.75" customHeight="1">
      <c r="AA1424" s="102"/>
      <c r="AB1424" s="102"/>
      <c r="AC1424" s="103"/>
    </row>
    <row r="1425" spans="27:29" ht="111.75" customHeight="1">
      <c r="AA1425" s="102"/>
      <c r="AB1425" s="102"/>
      <c r="AC1425" s="103"/>
    </row>
    <row r="1426" spans="27:29" ht="111.75" customHeight="1">
      <c r="AA1426" s="102"/>
      <c r="AB1426" s="102"/>
      <c r="AC1426" s="103"/>
    </row>
    <row r="1427" spans="27:29" ht="111.75" customHeight="1">
      <c r="AA1427" s="102"/>
      <c r="AB1427" s="102"/>
      <c r="AC1427" s="103"/>
    </row>
    <row r="1428" spans="27:29" ht="111.75" customHeight="1">
      <c r="AA1428" s="102"/>
      <c r="AB1428" s="102"/>
      <c r="AC1428" s="103"/>
    </row>
    <row r="1429" spans="27:29" ht="111.75" customHeight="1">
      <c r="AA1429" s="102"/>
      <c r="AB1429" s="102"/>
      <c r="AC1429" s="103"/>
    </row>
    <row r="1430" spans="27:29" ht="111.75" customHeight="1">
      <c r="AA1430" s="102"/>
      <c r="AB1430" s="102"/>
      <c r="AC1430" s="103"/>
    </row>
    <row r="1431" spans="27:29" ht="111.75" customHeight="1">
      <c r="AA1431" s="102"/>
      <c r="AB1431" s="102"/>
      <c r="AC1431" s="103"/>
    </row>
    <row r="1432" spans="27:29" ht="111.75" customHeight="1">
      <c r="AA1432" s="102"/>
      <c r="AB1432" s="102"/>
      <c r="AC1432" s="103"/>
    </row>
    <row r="1433" spans="27:29" ht="111.75" customHeight="1">
      <c r="AA1433" s="102"/>
      <c r="AB1433" s="102"/>
      <c r="AC1433" s="103"/>
    </row>
    <row r="1434" spans="27:29" ht="111.75" customHeight="1">
      <c r="AA1434" s="102"/>
      <c r="AB1434" s="102"/>
      <c r="AC1434" s="103"/>
    </row>
    <row r="1435" spans="27:29" ht="111.75" customHeight="1">
      <c r="AA1435" s="102"/>
      <c r="AB1435" s="102"/>
      <c r="AC1435" s="103"/>
    </row>
    <row r="1436" spans="27:29" ht="111.75" customHeight="1">
      <c r="AA1436" s="102"/>
      <c r="AB1436" s="102"/>
      <c r="AC1436" s="103"/>
    </row>
    <row r="1437" spans="27:29" ht="111.75" customHeight="1">
      <c r="AA1437" s="102"/>
      <c r="AB1437" s="102"/>
      <c r="AC1437" s="103"/>
    </row>
    <row r="1438" spans="27:29" ht="111.75" customHeight="1">
      <c r="AA1438" s="102"/>
      <c r="AB1438" s="102"/>
      <c r="AC1438" s="103"/>
    </row>
    <row r="1439" spans="27:29" ht="111.75" customHeight="1">
      <c r="AA1439" s="102"/>
      <c r="AB1439" s="102"/>
      <c r="AC1439" s="103"/>
    </row>
    <row r="1440" spans="27:29" ht="111.75" customHeight="1">
      <c r="AA1440" s="102"/>
      <c r="AB1440" s="102"/>
      <c r="AC1440" s="103"/>
    </row>
    <row r="1441" spans="27:29" ht="111.75" customHeight="1">
      <c r="AA1441" s="102"/>
      <c r="AB1441" s="102"/>
      <c r="AC1441" s="103"/>
    </row>
    <row r="1442" spans="27:29" ht="111.75" customHeight="1">
      <c r="AA1442" s="102"/>
      <c r="AB1442" s="102"/>
      <c r="AC1442" s="103"/>
    </row>
    <row r="1443" spans="27:29" ht="111.75" customHeight="1">
      <c r="AA1443" s="102"/>
      <c r="AB1443" s="102"/>
      <c r="AC1443" s="103"/>
    </row>
    <row r="1444" spans="27:29" ht="111.75" customHeight="1">
      <c r="AA1444" s="102"/>
      <c r="AB1444" s="102"/>
      <c r="AC1444" s="103"/>
    </row>
    <row r="1445" spans="27:29" ht="111.75" customHeight="1">
      <c r="AA1445" s="102"/>
      <c r="AB1445" s="102"/>
      <c r="AC1445" s="103"/>
    </row>
    <row r="1446" spans="27:29" ht="111.75" customHeight="1">
      <c r="AA1446" s="102"/>
      <c r="AB1446" s="102"/>
      <c r="AC1446" s="103"/>
    </row>
    <row r="1447" spans="27:29" ht="111.75" customHeight="1">
      <c r="AA1447" s="102"/>
      <c r="AB1447" s="102"/>
      <c r="AC1447" s="103"/>
    </row>
    <row r="1448" spans="27:29" ht="111.75" customHeight="1">
      <c r="AA1448" s="102"/>
      <c r="AB1448" s="102"/>
      <c r="AC1448" s="103"/>
    </row>
    <row r="1449" spans="27:29" ht="111.75" customHeight="1">
      <c r="AA1449" s="102"/>
      <c r="AB1449" s="102"/>
      <c r="AC1449" s="103"/>
    </row>
    <row r="1450" spans="27:29" ht="111.75" customHeight="1">
      <c r="AA1450" s="102"/>
      <c r="AB1450" s="102"/>
      <c r="AC1450" s="103"/>
    </row>
    <row r="1451" spans="27:29" ht="111.75" customHeight="1">
      <c r="AA1451" s="102"/>
      <c r="AB1451" s="102"/>
      <c r="AC1451" s="103"/>
    </row>
    <row r="1452" spans="27:29" ht="111.75" customHeight="1">
      <c r="AA1452" s="102"/>
      <c r="AB1452" s="102"/>
      <c r="AC1452" s="103"/>
    </row>
    <row r="1453" spans="27:29" ht="111.75" customHeight="1">
      <c r="AA1453" s="102"/>
      <c r="AB1453" s="102"/>
      <c r="AC1453" s="103"/>
    </row>
    <row r="1454" spans="27:29" ht="111.75" customHeight="1">
      <c r="AA1454" s="102"/>
      <c r="AB1454" s="102"/>
      <c r="AC1454" s="103"/>
    </row>
    <row r="1455" spans="27:29" ht="111.75" customHeight="1">
      <c r="AA1455" s="102"/>
      <c r="AB1455" s="102"/>
      <c r="AC1455" s="103"/>
    </row>
    <row r="1456" spans="27:29" ht="111.75" customHeight="1">
      <c r="AA1456" s="102"/>
      <c r="AB1456" s="102"/>
      <c r="AC1456" s="103"/>
    </row>
    <row r="1457" spans="27:29" ht="111.75" customHeight="1">
      <c r="AA1457" s="102"/>
      <c r="AB1457" s="102"/>
      <c r="AC1457" s="103"/>
    </row>
    <row r="1458" spans="27:29" ht="111.75" customHeight="1">
      <c r="AA1458" s="102"/>
      <c r="AB1458" s="102"/>
      <c r="AC1458" s="103"/>
    </row>
    <row r="1459" spans="27:29" ht="111.75" customHeight="1">
      <c r="AA1459" s="102"/>
      <c r="AB1459" s="102"/>
      <c r="AC1459" s="103"/>
    </row>
    <row r="1460" spans="27:29" ht="111.75" customHeight="1">
      <c r="AA1460" s="102"/>
      <c r="AB1460" s="102"/>
      <c r="AC1460" s="103"/>
    </row>
    <row r="1461" spans="27:29" ht="111.75" customHeight="1">
      <c r="AA1461" s="102"/>
      <c r="AB1461" s="102"/>
      <c r="AC1461" s="103"/>
    </row>
    <row r="1462" spans="27:29" ht="111.75" customHeight="1">
      <c r="AA1462" s="102"/>
      <c r="AB1462" s="102"/>
      <c r="AC1462" s="103"/>
    </row>
    <row r="1463" spans="27:29" ht="111.75" customHeight="1">
      <c r="AA1463" s="102"/>
      <c r="AB1463" s="102"/>
      <c r="AC1463" s="103"/>
    </row>
    <row r="1464" spans="27:29" ht="111.75" customHeight="1">
      <c r="AA1464" s="102"/>
      <c r="AB1464" s="102"/>
      <c r="AC1464" s="103"/>
    </row>
    <row r="1465" spans="27:29" ht="111.75" customHeight="1">
      <c r="AA1465" s="102"/>
      <c r="AB1465" s="102"/>
      <c r="AC1465" s="103"/>
    </row>
    <row r="1466" spans="27:29" ht="111.75" customHeight="1">
      <c r="AA1466" s="102"/>
      <c r="AB1466" s="102"/>
      <c r="AC1466" s="103"/>
    </row>
    <row r="1467" spans="27:29" ht="111.75" customHeight="1">
      <c r="AA1467" s="102"/>
      <c r="AB1467" s="102"/>
      <c r="AC1467" s="103"/>
    </row>
    <row r="1468" spans="27:29" ht="111.75" customHeight="1">
      <c r="AA1468" s="102"/>
      <c r="AB1468" s="102"/>
      <c r="AC1468" s="103"/>
    </row>
    <row r="1469" spans="27:29" ht="111.75" customHeight="1">
      <c r="AA1469" s="102"/>
      <c r="AB1469" s="102"/>
      <c r="AC1469" s="103"/>
    </row>
    <row r="1470" spans="27:29" ht="111.75" customHeight="1">
      <c r="AA1470" s="102"/>
      <c r="AB1470" s="102"/>
      <c r="AC1470" s="103"/>
    </row>
    <row r="1471" spans="27:29" ht="111.75" customHeight="1">
      <c r="AA1471" s="102"/>
      <c r="AB1471" s="102"/>
      <c r="AC1471" s="103"/>
    </row>
    <row r="1472" spans="27:29" ht="111.75" customHeight="1">
      <c r="AA1472" s="102"/>
      <c r="AB1472" s="102"/>
      <c r="AC1472" s="103"/>
    </row>
    <row r="1473" spans="27:29" ht="111.75" customHeight="1">
      <c r="AA1473" s="102"/>
      <c r="AB1473" s="102"/>
      <c r="AC1473" s="103"/>
    </row>
    <row r="1474" spans="27:29" ht="111.75" customHeight="1">
      <c r="AA1474" s="102"/>
      <c r="AB1474" s="102"/>
      <c r="AC1474" s="103"/>
    </row>
    <row r="1475" spans="27:29" ht="111.75" customHeight="1">
      <c r="AA1475" s="102"/>
      <c r="AB1475" s="102"/>
      <c r="AC1475" s="103"/>
    </row>
    <row r="1476" spans="27:29" ht="111.75" customHeight="1">
      <c r="AA1476" s="102"/>
      <c r="AB1476" s="102"/>
      <c r="AC1476" s="103"/>
    </row>
    <row r="1477" spans="27:29" ht="111.75" customHeight="1">
      <c r="AA1477" s="102"/>
      <c r="AB1477" s="102"/>
      <c r="AC1477" s="103"/>
    </row>
    <row r="1478" spans="27:29" ht="111.75" customHeight="1">
      <c r="AA1478" s="102"/>
      <c r="AB1478" s="102"/>
      <c r="AC1478" s="103"/>
    </row>
    <row r="1479" spans="27:29" ht="111.75" customHeight="1">
      <c r="AA1479" s="102"/>
      <c r="AB1479" s="102"/>
      <c r="AC1479" s="103"/>
    </row>
    <row r="1480" spans="27:29" ht="111.75" customHeight="1">
      <c r="AA1480" s="102"/>
      <c r="AB1480" s="102"/>
      <c r="AC1480" s="103"/>
    </row>
    <row r="1481" spans="27:29" ht="111.75" customHeight="1">
      <c r="AA1481" s="102"/>
      <c r="AB1481" s="102"/>
      <c r="AC1481" s="103"/>
    </row>
    <row r="1482" spans="27:29" ht="111.75" customHeight="1">
      <c r="AA1482" s="102"/>
      <c r="AB1482" s="102"/>
      <c r="AC1482" s="103"/>
    </row>
    <row r="1483" spans="27:29" ht="111.75" customHeight="1">
      <c r="AA1483" s="102"/>
      <c r="AB1483" s="102"/>
      <c r="AC1483" s="103"/>
    </row>
    <row r="1484" spans="27:29" ht="111.75" customHeight="1">
      <c r="AA1484" s="102"/>
      <c r="AB1484" s="102"/>
      <c r="AC1484" s="103"/>
    </row>
    <row r="1485" spans="27:29" ht="111.75" customHeight="1">
      <c r="AA1485" s="102"/>
      <c r="AB1485" s="102"/>
      <c r="AC1485" s="103"/>
    </row>
    <row r="1486" spans="27:29" ht="111.75" customHeight="1">
      <c r="AA1486" s="102"/>
      <c r="AB1486" s="102"/>
      <c r="AC1486" s="103"/>
    </row>
    <row r="1487" spans="27:29" ht="111.75" customHeight="1">
      <c r="AA1487" s="102"/>
      <c r="AB1487" s="102"/>
      <c r="AC1487" s="103"/>
    </row>
    <row r="1488" spans="27:29" ht="111.75" customHeight="1">
      <c r="AA1488" s="102"/>
      <c r="AB1488" s="102"/>
      <c r="AC1488" s="103"/>
    </row>
    <row r="1489" spans="27:29" ht="111.75" customHeight="1">
      <c r="AA1489" s="102"/>
      <c r="AB1489" s="102"/>
      <c r="AC1489" s="103"/>
    </row>
    <row r="1490" spans="27:29" ht="111.75" customHeight="1">
      <c r="AA1490" s="102"/>
      <c r="AB1490" s="102"/>
      <c r="AC1490" s="103"/>
    </row>
    <row r="1491" spans="27:29" ht="111.75" customHeight="1">
      <c r="AA1491" s="102"/>
      <c r="AB1491" s="102"/>
      <c r="AC1491" s="103"/>
    </row>
    <row r="1492" spans="27:29" ht="111.75" customHeight="1">
      <c r="AA1492" s="102"/>
      <c r="AB1492" s="102"/>
      <c r="AC1492" s="103"/>
    </row>
    <row r="1493" spans="27:29" ht="111.75" customHeight="1">
      <c r="AA1493" s="102"/>
      <c r="AB1493" s="102"/>
      <c r="AC1493" s="103"/>
    </row>
    <row r="1494" spans="27:29" ht="111.75" customHeight="1">
      <c r="AA1494" s="102"/>
      <c r="AB1494" s="102"/>
      <c r="AC1494" s="103"/>
    </row>
    <row r="1495" spans="27:29" ht="111.75" customHeight="1">
      <c r="AA1495" s="102"/>
      <c r="AB1495" s="102"/>
      <c r="AC1495" s="103"/>
    </row>
    <row r="1496" spans="27:29" ht="111.75" customHeight="1">
      <c r="AA1496" s="102"/>
      <c r="AB1496" s="102"/>
      <c r="AC1496" s="103"/>
    </row>
    <row r="1497" spans="27:29" ht="111.75" customHeight="1">
      <c r="AA1497" s="102"/>
      <c r="AB1497" s="102"/>
      <c r="AC1497" s="103"/>
    </row>
    <row r="1498" spans="27:29" ht="111.75" customHeight="1">
      <c r="AA1498" s="102"/>
      <c r="AB1498" s="102"/>
      <c r="AC1498" s="103"/>
    </row>
    <row r="1499" spans="27:29" ht="111.75" customHeight="1">
      <c r="AA1499" s="102"/>
      <c r="AB1499" s="102"/>
      <c r="AC1499" s="103"/>
    </row>
    <row r="1500" spans="27:29" ht="111.75" customHeight="1">
      <c r="AA1500" s="102"/>
      <c r="AB1500" s="102"/>
      <c r="AC1500" s="103"/>
    </row>
    <row r="1501" spans="27:29" ht="111.75" customHeight="1">
      <c r="AA1501" s="102"/>
      <c r="AB1501" s="102"/>
      <c r="AC1501" s="103"/>
    </row>
    <row r="1502" spans="27:29" ht="111.75" customHeight="1">
      <c r="AA1502" s="102"/>
      <c r="AB1502" s="102"/>
      <c r="AC1502" s="103"/>
    </row>
    <row r="1503" spans="27:29" ht="111.75" customHeight="1">
      <c r="AA1503" s="102"/>
      <c r="AB1503" s="102"/>
      <c r="AC1503" s="103"/>
    </row>
    <row r="1504" spans="27:29" ht="111.75" customHeight="1">
      <c r="AA1504" s="102"/>
      <c r="AB1504" s="102"/>
      <c r="AC1504" s="103"/>
    </row>
    <row r="1505" spans="27:29" ht="111.75" customHeight="1">
      <c r="AA1505" s="102"/>
      <c r="AB1505" s="102"/>
      <c r="AC1505" s="103"/>
    </row>
    <row r="1506" spans="27:29" ht="111.75" customHeight="1">
      <c r="AA1506" s="102"/>
      <c r="AB1506" s="102"/>
      <c r="AC1506" s="103"/>
    </row>
    <row r="1507" spans="27:29" ht="111.75" customHeight="1">
      <c r="AA1507" s="102"/>
      <c r="AB1507" s="102"/>
      <c r="AC1507" s="103"/>
    </row>
    <row r="1508" spans="27:29" ht="111.75" customHeight="1">
      <c r="AA1508" s="102"/>
      <c r="AB1508" s="102"/>
      <c r="AC1508" s="103"/>
    </row>
    <row r="1509" spans="27:29" ht="111.75" customHeight="1">
      <c r="AA1509" s="102"/>
      <c r="AB1509" s="102"/>
      <c r="AC1509" s="103"/>
    </row>
    <row r="1510" spans="27:29" ht="111.75" customHeight="1">
      <c r="AA1510" s="102"/>
      <c r="AB1510" s="102"/>
      <c r="AC1510" s="103"/>
    </row>
    <row r="1511" spans="27:29" ht="111.75" customHeight="1">
      <c r="AA1511" s="102"/>
      <c r="AB1511" s="102"/>
      <c r="AC1511" s="103"/>
    </row>
    <row r="1512" spans="27:29" ht="111.75" customHeight="1">
      <c r="AA1512" s="102"/>
      <c r="AB1512" s="102"/>
      <c r="AC1512" s="103"/>
    </row>
    <row r="1513" spans="27:29" ht="111.75" customHeight="1">
      <c r="AA1513" s="102"/>
      <c r="AB1513" s="102"/>
      <c r="AC1513" s="103"/>
    </row>
    <row r="1514" spans="27:29" ht="111.75" customHeight="1">
      <c r="AA1514" s="102"/>
      <c r="AB1514" s="102"/>
      <c r="AC1514" s="103"/>
    </row>
    <row r="1515" spans="27:29" ht="111.75" customHeight="1">
      <c r="AA1515" s="102"/>
      <c r="AB1515" s="102"/>
      <c r="AC1515" s="103"/>
    </row>
    <row r="1516" spans="27:29" ht="111.75" customHeight="1">
      <c r="AA1516" s="102"/>
      <c r="AB1516" s="102"/>
      <c r="AC1516" s="103"/>
    </row>
    <row r="1517" spans="27:29" ht="111.75" customHeight="1">
      <c r="AA1517" s="102"/>
      <c r="AB1517" s="102"/>
      <c r="AC1517" s="103"/>
    </row>
    <row r="1518" spans="27:29" ht="111.75" customHeight="1">
      <c r="AA1518" s="102"/>
      <c r="AB1518" s="102"/>
      <c r="AC1518" s="103"/>
    </row>
    <row r="1519" spans="27:29" ht="111.75" customHeight="1">
      <c r="AA1519" s="102"/>
      <c r="AB1519" s="102"/>
      <c r="AC1519" s="103"/>
    </row>
    <row r="1520" spans="27:29" ht="111.75" customHeight="1">
      <c r="AA1520" s="102"/>
      <c r="AB1520" s="102"/>
      <c r="AC1520" s="103"/>
    </row>
    <row r="1521" spans="27:29" ht="111.75" customHeight="1">
      <c r="AA1521" s="102"/>
      <c r="AB1521" s="102"/>
      <c r="AC1521" s="103"/>
    </row>
    <row r="1522" spans="27:29" ht="111.75" customHeight="1">
      <c r="AA1522" s="102"/>
      <c r="AB1522" s="102"/>
      <c r="AC1522" s="103"/>
    </row>
    <row r="1523" spans="27:29" ht="111.75" customHeight="1">
      <c r="AA1523" s="102"/>
      <c r="AB1523" s="102"/>
      <c r="AC1523" s="103"/>
    </row>
    <row r="1524" spans="27:29" ht="111.75" customHeight="1">
      <c r="AA1524" s="102"/>
      <c r="AB1524" s="102"/>
      <c r="AC1524" s="103"/>
    </row>
    <row r="1525" spans="27:29" ht="111.75" customHeight="1">
      <c r="AA1525" s="102"/>
      <c r="AB1525" s="102"/>
      <c r="AC1525" s="103"/>
    </row>
    <row r="1526" spans="27:29" ht="111.75" customHeight="1">
      <c r="AA1526" s="102"/>
      <c r="AB1526" s="102"/>
      <c r="AC1526" s="103"/>
    </row>
    <row r="1527" spans="27:29" ht="111.75" customHeight="1">
      <c r="AA1527" s="102"/>
      <c r="AB1527" s="102"/>
      <c r="AC1527" s="103"/>
    </row>
    <row r="1528" spans="27:29" ht="111.75" customHeight="1">
      <c r="AA1528" s="102"/>
      <c r="AB1528" s="102"/>
      <c r="AC1528" s="103"/>
    </row>
    <row r="1529" spans="27:29" ht="111.75" customHeight="1">
      <c r="AA1529" s="102"/>
      <c r="AB1529" s="102"/>
      <c r="AC1529" s="103"/>
    </row>
    <row r="1530" spans="27:29" ht="111.75" customHeight="1">
      <c r="AA1530" s="102"/>
      <c r="AB1530" s="102"/>
      <c r="AC1530" s="103"/>
    </row>
    <row r="1531" spans="27:29" ht="111.75" customHeight="1">
      <c r="AA1531" s="102"/>
      <c r="AB1531" s="102"/>
      <c r="AC1531" s="103"/>
    </row>
    <row r="1532" spans="27:29" ht="111.75" customHeight="1">
      <c r="AA1532" s="102"/>
      <c r="AB1532" s="102"/>
      <c r="AC1532" s="103"/>
    </row>
    <row r="1533" spans="27:29" ht="111.75" customHeight="1">
      <c r="AA1533" s="102"/>
      <c r="AB1533" s="102"/>
      <c r="AC1533" s="103"/>
    </row>
    <row r="1534" spans="27:29" ht="111.75" customHeight="1">
      <c r="AA1534" s="102"/>
      <c r="AB1534" s="102"/>
      <c r="AC1534" s="103"/>
    </row>
    <row r="1535" spans="27:29" ht="111.75" customHeight="1">
      <c r="AA1535" s="102"/>
      <c r="AB1535" s="102"/>
      <c r="AC1535" s="103"/>
    </row>
    <row r="1536" spans="27:29" ht="111.75" customHeight="1">
      <c r="AA1536" s="102"/>
      <c r="AB1536" s="102"/>
      <c r="AC1536" s="103"/>
    </row>
    <row r="1537" spans="27:29" ht="111.75" customHeight="1">
      <c r="AA1537" s="102"/>
      <c r="AB1537" s="102"/>
      <c r="AC1537" s="103"/>
    </row>
    <row r="1538" spans="27:29" ht="111.75" customHeight="1">
      <c r="AA1538" s="102"/>
      <c r="AB1538" s="102"/>
      <c r="AC1538" s="103"/>
    </row>
    <row r="1539" spans="27:29" ht="111.75" customHeight="1">
      <c r="AA1539" s="102"/>
      <c r="AB1539" s="102"/>
      <c r="AC1539" s="103"/>
    </row>
    <row r="1540" spans="27:29" ht="111.75" customHeight="1">
      <c r="AA1540" s="102"/>
      <c r="AB1540" s="102"/>
      <c r="AC1540" s="103"/>
    </row>
    <row r="1541" spans="27:29" ht="111.75" customHeight="1">
      <c r="AA1541" s="102"/>
      <c r="AB1541" s="102"/>
      <c r="AC1541" s="103"/>
    </row>
    <row r="1542" spans="27:29" ht="111.75" customHeight="1">
      <c r="AA1542" s="102"/>
      <c r="AB1542" s="102"/>
      <c r="AC1542" s="103"/>
    </row>
    <row r="1543" spans="27:29" ht="111.75" customHeight="1">
      <c r="AA1543" s="102"/>
      <c r="AB1543" s="102"/>
      <c r="AC1543" s="103"/>
    </row>
    <row r="1544" spans="27:29" ht="111.75" customHeight="1">
      <c r="AA1544" s="102"/>
      <c r="AB1544" s="102"/>
      <c r="AC1544" s="103"/>
    </row>
    <row r="1545" spans="27:29" ht="111.75" customHeight="1">
      <c r="AA1545" s="102"/>
      <c r="AB1545" s="102"/>
      <c r="AC1545" s="103"/>
    </row>
    <row r="1546" spans="27:29" ht="111.75" customHeight="1">
      <c r="AA1546" s="102"/>
      <c r="AB1546" s="102"/>
      <c r="AC1546" s="103"/>
    </row>
    <row r="1547" spans="27:29" ht="111.75" customHeight="1">
      <c r="AA1547" s="102"/>
      <c r="AB1547" s="102"/>
      <c r="AC1547" s="103"/>
    </row>
    <row r="1548" spans="27:29" ht="111.75" customHeight="1">
      <c r="AA1548" s="102"/>
      <c r="AB1548" s="102"/>
      <c r="AC1548" s="103"/>
    </row>
    <row r="1549" spans="27:29" ht="111.75" customHeight="1">
      <c r="AA1549" s="102"/>
      <c r="AB1549" s="102"/>
      <c r="AC1549" s="103"/>
    </row>
    <row r="1550" spans="27:29" ht="111.75" customHeight="1">
      <c r="AA1550" s="102"/>
      <c r="AB1550" s="102"/>
      <c r="AC1550" s="103"/>
    </row>
    <row r="1551" spans="27:29" ht="111.75" customHeight="1">
      <c r="AA1551" s="102"/>
      <c r="AB1551" s="102"/>
      <c r="AC1551" s="103"/>
    </row>
    <row r="1552" spans="27:29" ht="111.75" customHeight="1">
      <c r="AA1552" s="102"/>
      <c r="AB1552" s="102"/>
      <c r="AC1552" s="103"/>
    </row>
    <row r="1553" spans="27:29" ht="111.75" customHeight="1">
      <c r="AA1553" s="102"/>
      <c r="AB1553" s="102"/>
      <c r="AC1553" s="103"/>
    </row>
    <row r="1554" spans="27:29" ht="111.75" customHeight="1">
      <c r="AA1554" s="102"/>
      <c r="AB1554" s="102"/>
      <c r="AC1554" s="103"/>
    </row>
    <row r="1555" spans="27:29" ht="111.75" customHeight="1">
      <c r="AA1555" s="102"/>
      <c r="AB1555" s="102"/>
      <c r="AC1555" s="103"/>
    </row>
    <row r="1556" spans="27:29" ht="111.75" customHeight="1">
      <c r="AA1556" s="102"/>
      <c r="AB1556" s="102"/>
      <c r="AC1556" s="103"/>
    </row>
    <row r="1557" spans="27:29" ht="111.75" customHeight="1">
      <c r="AA1557" s="102"/>
      <c r="AB1557" s="102"/>
      <c r="AC1557" s="103"/>
    </row>
    <row r="1558" spans="27:29" ht="111.75" customHeight="1">
      <c r="AA1558" s="102"/>
      <c r="AB1558" s="102"/>
      <c r="AC1558" s="103"/>
    </row>
    <row r="1559" spans="27:29" ht="111.75" customHeight="1">
      <c r="AA1559" s="102"/>
      <c r="AB1559" s="102"/>
      <c r="AC1559" s="103"/>
    </row>
    <row r="1560" spans="27:29" ht="111.75" customHeight="1">
      <c r="AA1560" s="102"/>
      <c r="AB1560" s="102"/>
      <c r="AC1560" s="103"/>
    </row>
    <row r="1561" spans="27:29" ht="111.75" customHeight="1">
      <c r="AA1561" s="102"/>
      <c r="AB1561" s="102"/>
      <c r="AC1561" s="103"/>
    </row>
    <row r="1562" spans="27:29" ht="111.75" customHeight="1">
      <c r="AA1562" s="102"/>
      <c r="AB1562" s="102"/>
      <c r="AC1562" s="103"/>
    </row>
    <row r="1563" spans="27:29" ht="111.75" customHeight="1">
      <c r="AA1563" s="102"/>
      <c r="AB1563" s="102"/>
      <c r="AC1563" s="103"/>
    </row>
    <row r="1564" spans="27:29" ht="111.75" customHeight="1">
      <c r="AA1564" s="102"/>
      <c r="AB1564" s="102"/>
      <c r="AC1564" s="103"/>
    </row>
    <row r="1565" spans="27:29" ht="111.75" customHeight="1">
      <c r="AA1565" s="102"/>
      <c r="AB1565" s="102"/>
      <c r="AC1565" s="103"/>
    </row>
    <row r="1566" spans="27:29" ht="111.75" customHeight="1">
      <c r="AA1566" s="102"/>
      <c r="AB1566" s="102"/>
      <c r="AC1566" s="103"/>
    </row>
    <row r="1567" spans="27:29" ht="111.75" customHeight="1">
      <c r="AA1567" s="102"/>
      <c r="AB1567" s="102"/>
      <c r="AC1567" s="103"/>
    </row>
    <row r="1568" spans="27:29" ht="111.75" customHeight="1">
      <c r="AA1568" s="102"/>
      <c r="AB1568" s="102"/>
      <c r="AC1568" s="103"/>
    </row>
    <row r="1569" spans="27:29" ht="111.75" customHeight="1">
      <c r="AA1569" s="102"/>
      <c r="AB1569" s="102"/>
      <c r="AC1569" s="103"/>
    </row>
    <row r="1570" spans="27:29" ht="111.75" customHeight="1">
      <c r="AA1570" s="102"/>
      <c r="AB1570" s="102"/>
      <c r="AC1570" s="103"/>
    </row>
    <row r="1571" spans="27:29" ht="111.75" customHeight="1">
      <c r="AA1571" s="102"/>
      <c r="AB1571" s="102"/>
      <c r="AC1571" s="103"/>
    </row>
    <row r="1572" spans="27:29" ht="111.75" customHeight="1">
      <c r="AA1572" s="102"/>
      <c r="AB1572" s="102"/>
      <c r="AC1572" s="103"/>
    </row>
    <row r="1573" spans="27:29" ht="111.75" customHeight="1">
      <c r="AA1573" s="102"/>
      <c r="AB1573" s="102"/>
      <c r="AC1573" s="103"/>
    </row>
    <row r="1574" spans="27:29" ht="111.75" customHeight="1">
      <c r="AA1574" s="102"/>
      <c r="AB1574" s="102"/>
      <c r="AC1574" s="103"/>
    </row>
    <row r="1575" spans="27:29" ht="111.75" customHeight="1">
      <c r="AA1575" s="102"/>
      <c r="AB1575" s="102"/>
      <c r="AC1575" s="103"/>
    </row>
    <row r="1576" spans="27:29" ht="111.75" customHeight="1">
      <c r="AA1576" s="102"/>
      <c r="AB1576" s="102"/>
      <c r="AC1576" s="103"/>
    </row>
    <row r="1577" spans="27:29" ht="111.75" customHeight="1">
      <c r="AA1577" s="102"/>
      <c r="AB1577" s="102"/>
      <c r="AC1577" s="103"/>
    </row>
    <row r="1578" spans="27:29" ht="111.75" customHeight="1">
      <c r="AA1578" s="102"/>
      <c r="AB1578" s="102"/>
      <c r="AC1578" s="103"/>
    </row>
    <row r="1579" spans="27:29" ht="111.75" customHeight="1">
      <c r="AA1579" s="102"/>
      <c r="AB1579" s="102"/>
      <c r="AC1579" s="103"/>
    </row>
    <row r="1580" spans="27:29" ht="111.75" customHeight="1">
      <c r="AA1580" s="102"/>
      <c r="AB1580" s="102"/>
      <c r="AC1580" s="103"/>
    </row>
    <row r="1581" spans="27:29" ht="111.75" customHeight="1">
      <c r="AA1581" s="102"/>
      <c r="AB1581" s="102"/>
      <c r="AC1581" s="103"/>
    </row>
    <row r="1582" spans="27:29" ht="111.75" customHeight="1">
      <c r="AA1582" s="102"/>
      <c r="AB1582" s="102"/>
      <c r="AC1582" s="103"/>
    </row>
    <row r="1583" spans="27:29" ht="111.75" customHeight="1">
      <c r="AA1583" s="102"/>
      <c r="AB1583" s="102"/>
      <c r="AC1583" s="103"/>
    </row>
    <row r="1584" spans="27:29" ht="111.75" customHeight="1">
      <c r="AA1584" s="102"/>
      <c r="AB1584" s="102"/>
      <c r="AC1584" s="103"/>
    </row>
    <row r="1585" spans="27:29" ht="111.75" customHeight="1">
      <c r="AA1585" s="102"/>
      <c r="AB1585" s="102"/>
      <c r="AC1585" s="103"/>
    </row>
    <row r="1586" spans="27:29" ht="111.75" customHeight="1">
      <c r="AA1586" s="102"/>
      <c r="AB1586" s="102"/>
      <c r="AC1586" s="103"/>
    </row>
    <row r="1587" spans="27:29" ht="111.75" customHeight="1">
      <c r="AA1587" s="102"/>
      <c r="AB1587" s="102"/>
      <c r="AC1587" s="103"/>
    </row>
    <row r="1588" spans="27:29" ht="111.75" customHeight="1">
      <c r="AA1588" s="102"/>
      <c r="AB1588" s="102"/>
      <c r="AC1588" s="103"/>
    </row>
    <row r="1589" spans="27:29" ht="111.75" customHeight="1">
      <c r="AA1589" s="102"/>
      <c r="AB1589" s="102"/>
      <c r="AC1589" s="103"/>
    </row>
    <row r="1590" spans="27:29" ht="111.75" customHeight="1">
      <c r="AA1590" s="102"/>
      <c r="AB1590" s="102"/>
      <c r="AC1590" s="103"/>
    </row>
    <row r="1591" spans="27:29" ht="111.75" customHeight="1">
      <c r="AA1591" s="102"/>
      <c r="AB1591" s="102"/>
      <c r="AC1591" s="103"/>
    </row>
    <row r="1592" spans="27:29" ht="111.75" customHeight="1">
      <c r="AA1592" s="102"/>
      <c r="AB1592" s="102"/>
      <c r="AC1592" s="103"/>
    </row>
    <row r="1593" spans="27:29" ht="111.75" customHeight="1">
      <c r="AA1593" s="102"/>
      <c r="AB1593" s="102"/>
      <c r="AC1593" s="103"/>
    </row>
    <row r="1594" spans="27:29" ht="111.75" customHeight="1">
      <c r="AA1594" s="102"/>
      <c r="AB1594" s="102"/>
      <c r="AC1594" s="103"/>
    </row>
    <row r="1595" spans="27:29" ht="111.75" customHeight="1">
      <c r="AA1595" s="102"/>
      <c r="AB1595" s="102"/>
      <c r="AC1595" s="103"/>
    </row>
    <row r="1596" spans="27:29" ht="111.75" customHeight="1">
      <c r="AA1596" s="102"/>
      <c r="AB1596" s="102"/>
      <c r="AC1596" s="103"/>
    </row>
    <row r="1597" spans="27:29" ht="111.75" customHeight="1">
      <c r="AA1597" s="102"/>
      <c r="AB1597" s="102"/>
      <c r="AC1597" s="103"/>
    </row>
    <row r="1598" spans="27:29" ht="111.75" customHeight="1">
      <c r="AA1598" s="102"/>
      <c r="AB1598" s="102"/>
      <c r="AC1598" s="103"/>
    </row>
    <row r="1599" spans="27:29" ht="111.75" customHeight="1">
      <c r="AA1599" s="102"/>
      <c r="AB1599" s="102"/>
      <c r="AC1599" s="103"/>
    </row>
    <row r="1600" spans="27:29" ht="111.75" customHeight="1">
      <c r="AA1600" s="102"/>
      <c r="AB1600" s="102"/>
      <c r="AC1600" s="103"/>
    </row>
    <row r="1601" spans="27:29" ht="111.75" customHeight="1">
      <c r="AA1601" s="102"/>
      <c r="AB1601" s="102"/>
      <c r="AC1601" s="103"/>
    </row>
    <row r="1602" spans="27:29" ht="111.75" customHeight="1">
      <c r="AA1602" s="102"/>
      <c r="AB1602" s="102"/>
      <c r="AC1602" s="103"/>
    </row>
    <row r="1603" spans="27:29" ht="111.75" customHeight="1">
      <c r="AA1603" s="102"/>
      <c r="AB1603" s="102"/>
      <c r="AC1603" s="103"/>
    </row>
    <row r="1604" spans="27:29" ht="111.75" customHeight="1">
      <c r="AA1604" s="102"/>
      <c r="AB1604" s="102"/>
      <c r="AC1604" s="103"/>
    </row>
    <row r="1605" spans="27:29" ht="111.75" customHeight="1">
      <c r="AA1605" s="102"/>
      <c r="AB1605" s="102"/>
      <c r="AC1605" s="103"/>
    </row>
    <row r="1606" spans="27:29" ht="111.75" customHeight="1">
      <c r="AA1606" s="102"/>
      <c r="AB1606" s="102"/>
      <c r="AC1606" s="103"/>
    </row>
    <row r="1607" spans="27:29" ht="111.75" customHeight="1">
      <c r="AA1607" s="102"/>
      <c r="AB1607" s="102"/>
      <c r="AC1607" s="103"/>
    </row>
    <row r="1608" spans="27:29" ht="111.75" customHeight="1">
      <c r="AA1608" s="102"/>
      <c r="AB1608" s="102"/>
      <c r="AC1608" s="103"/>
    </row>
    <row r="1609" spans="27:29" ht="111.75" customHeight="1">
      <c r="AA1609" s="102"/>
      <c r="AB1609" s="102"/>
      <c r="AC1609" s="103"/>
    </row>
    <row r="1610" spans="27:29" ht="111.75" customHeight="1">
      <c r="AA1610" s="102"/>
      <c r="AB1610" s="102"/>
      <c r="AC1610" s="103"/>
    </row>
    <row r="1611" spans="27:29" ht="111.75" customHeight="1">
      <c r="AA1611" s="102"/>
      <c r="AB1611" s="102"/>
      <c r="AC1611" s="103"/>
    </row>
    <row r="1612" spans="27:29" ht="111.75" customHeight="1">
      <c r="AA1612" s="102"/>
      <c r="AB1612" s="102"/>
      <c r="AC1612" s="103"/>
    </row>
    <row r="1613" spans="27:29" ht="111.75" customHeight="1">
      <c r="AA1613" s="102"/>
      <c r="AB1613" s="102"/>
      <c r="AC1613" s="103"/>
    </row>
    <row r="1614" spans="27:29" ht="111.75" customHeight="1">
      <c r="AA1614" s="102"/>
      <c r="AB1614" s="102"/>
      <c r="AC1614" s="103"/>
    </row>
    <row r="1615" spans="27:29" ht="111.75" customHeight="1">
      <c r="AA1615" s="102"/>
      <c r="AB1615" s="102"/>
      <c r="AC1615" s="103"/>
    </row>
    <row r="1616" spans="27:29" ht="111.75" customHeight="1">
      <c r="AA1616" s="102"/>
      <c r="AB1616" s="102"/>
      <c r="AC1616" s="103"/>
    </row>
    <row r="1617" spans="27:29" ht="111.75" customHeight="1">
      <c r="AA1617" s="102"/>
      <c r="AB1617" s="102"/>
      <c r="AC1617" s="103"/>
    </row>
    <row r="1618" spans="27:29" ht="111.75" customHeight="1">
      <c r="AA1618" s="102"/>
      <c r="AB1618" s="102"/>
      <c r="AC1618" s="103"/>
    </row>
    <row r="1619" spans="27:29" ht="111.75" customHeight="1">
      <c r="AA1619" s="102"/>
      <c r="AB1619" s="102"/>
      <c r="AC1619" s="103"/>
    </row>
    <row r="1620" spans="27:29" ht="111.75" customHeight="1">
      <c r="AA1620" s="102"/>
      <c r="AB1620" s="102"/>
      <c r="AC1620" s="103"/>
    </row>
    <row r="1621" spans="27:29" ht="111.75" customHeight="1">
      <c r="AA1621" s="102"/>
      <c r="AB1621" s="102"/>
      <c r="AC1621" s="103"/>
    </row>
    <row r="1622" spans="27:29" ht="111.75" customHeight="1">
      <c r="AA1622" s="102"/>
      <c r="AB1622" s="102"/>
      <c r="AC1622" s="103"/>
    </row>
    <row r="1623" spans="27:29" ht="111.75" customHeight="1">
      <c r="AA1623" s="102"/>
      <c r="AB1623" s="102"/>
      <c r="AC1623" s="103"/>
    </row>
    <row r="1624" spans="27:29" ht="111.75" customHeight="1">
      <c r="AA1624" s="102"/>
      <c r="AB1624" s="102"/>
      <c r="AC1624" s="103"/>
    </row>
    <row r="1625" spans="27:29" ht="111.75" customHeight="1">
      <c r="AA1625" s="102"/>
      <c r="AB1625" s="102"/>
      <c r="AC1625" s="103"/>
    </row>
    <row r="1626" spans="27:29" ht="111.75" customHeight="1">
      <c r="AA1626" s="102"/>
      <c r="AB1626" s="102"/>
      <c r="AC1626" s="103"/>
    </row>
    <row r="1627" spans="27:29" ht="111.75" customHeight="1">
      <c r="AA1627" s="102"/>
      <c r="AB1627" s="102"/>
      <c r="AC1627" s="103"/>
    </row>
    <row r="1628" spans="27:29" ht="111.75" customHeight="1">
      <c r="AA1628" s="102"/>
      <c r="AB1628" s="102"/>
      <c r="AC1628" s="103"/>
    </row>
    <row r="1629" spans="27:29" ht="111.75" customHeight="1">
      <c r="AA1629" s="102"/>
      <c r="AB1629" s="102"/>
      <c r="AC1629" s="103"/>
    </row>
    <row r="1630" spans="27:29" ht="111.75" customHeight="1">
      <c r="AA1630" s="102"/>
      <c r="AB1630" s="102"/>
      <c r="AC1630" s="103"/>
    </row>
    <row r="1631" spans="27:29" ht="111.75" customHeight="1">
      <c r="AA1631" s="102"/>
      <c r="AB1631" s="102"/>
      <c r="AC1631" s="103"/>
    </row>
    <row r="1632" spans="27:29" ht="111.75" customHeight="1">
      <c r="AA1632" s="102"/>
      <c r="AB1632" s="102"/>
      <c r="AC1632" s="103"/>
    </row>
    <row r="1633" spans="27:29" ht="111.75" customHeight="1">
      <c r="AA1633" s="102"/>
      <c r="AB1633" s="102"/>
      <c r="AC1633" s="103"/>
    </row>
    <row r="1634" spans="27:29" ht="111.75" customHeight="1">
      <c r="AA1634" s="102"/>
      <c r="AB1634" s="102"/>
      <c r="AC1634" s="103"/>
    </row>
    <row r="1635" spans="27:29" ht="111.75" customHeight="1">
      <c r="AA1635" s="102"/>
      <c r="AB1635" s="102"/>
      <c r="AC1635" s="103"/>
    </row>
    <row r="1636" spans="27:29" ht="111.75" customHeight="1">
      <c r="AA1636" s="102"/>
      <c r="AB1636" s="102"/>
      <c r="AC1636" s="103"/>
    </row>
    <row r="1637" spans="27:29" ht="111.75" customHeight="1">
      <c r="AA1637" s="102"/>
      <c r="AB1637" s="102"/>
      <c r="AC1637" s="103"/>
    </row>
    <row r="1638" spans="27:29" ht="111.75" customHeight="1">
      <c r="AA1638" s="102"/>
      <c r="AB1638" s="102"/>
      <c r="AC1638" s="103"/>
    </row>
    <row r="1639" spans="27:29" ht="111.75" customHeight="1">
      <c r="AA1639" s="102"/>
      <c r="AB1639" s="102"/>
      <c r="AC1639" s="103"/>
    </row>
    <row r="1640" spans="27:29" ht="111.75" customHeight="1">
      <c r="AA1640" s="102"/>
      <c r="AB1640" s="102"/>
      <c r="AC1640" s="103"/>
    </row>
    <row r="1641" spans="27:29" ht="111.75" customHeight="1">
      <c r="AA1641" s="102"/>
      <c r="AB1641" s="102"/>
      <c r="AC1641" s="103"/>
    </row>
    <row r="1642" spans="27:29" ht="111.75" customHeight="1">
      <c r="AA1642" s="102"/>
      <c r="AB1642" s="102"/>
      <c r="AC1642" s="103"/>
    </row>
    <row r="1643" spans="27:29" ht="111.75" customHeight="1">
      <c r="AA1643" s="102"/>
      <c r="AB1643" s="102"/>
      <c r="AC1643" s="103"/>
    </row>
    <row r="1644" spans="27:29" ht="111.75" customHeight="1">
      <c r="AA1644" s="102"/>
      <c r="AB1644" s="102"/>
      <c r="AC1644" s="103"/>
    </row>
    <row r="1645" spans="27:29" ht="111.75" customHeight="1">
      <c r="AA1645" s="102"/>
      <c r="AB1645" s="102"/>
      <c r="AC1645" s="103"/>
    </row>
    <row r="1646" spans="27:29" ht="111.75" customHeight="1">
      <c r="AA1646" s="102"/>
      <c r="AB1646" s="102"/>
      <c r="AC1646" s="103"/>
    </row>
    <row r="1647" spans="27:29" ht="111.75" customHeight="1">
      <c r="AA1647" s="102"/>
      <c r="AB1647" s="102"/>
      <c r="AC1647" s="103"/>
    </row>
    <row r="1648" spans="27:29" ht="111.75" customHeight="1">
      <c r="AA1648" s="102"/>
      <c r="AB1648" s="102"/>
      <c r="AC1648" s="103"/>
    </row>
    <row r="1649" spans="27:29" ht="111.75" customHeight="1">
      <c r="AA1649" s="102"/>
      <c r="AB1649" s="102"/>
      <c r="AC1649" s="103"/>
    </row>
    <row r="1650" spans="27:29" ht="111.75" customHeight="1">
      <c r="AA1650" s="102"/>
      <c r="AB1650" s="102"/>
      <c r="AC1650" s="103"/>
    </row>
    <row r="1651" spans="27:29" ht="111.75" customHeight="1">
      <c r="AA1651" s="102"/>
      <c r="AB1651" s="102"/>
      <c r="AC1651" s="103"/>
    </row>
    <row r="1652" spans="27:29" ht="111.75" customHeight="1">
      <c r="AA1652" s="102"/>
      <c r="AB1652" s="102"/>
      <c r="AC1652" s="103"/>
    </row>
    <row r="1653" spans="27:29" ht="111.75" customHeight="1">
      <c r="AA1653" s="102"/>
      <c r="AB1653" s="102"/>
      <c r="AC1653" s="103"/>
    </row>
    <row r="1654" spans="27:29" ht="111.75" customHeight="1">
      <c r="AA1654" s="102"/>
      <c r="AB1654" s="102"/>
      <c r="AC1654" s="103"/>
    </row>
    <row r="1655" spans="27:29" ht="111.75" customHeight="1">
      <c r="AA1655" s="102"/>
      <c r="AB1655" s="102"/>
      <c r="AC1655" s="103"/>
    </row>
    <row r="1656" spans="27:29" ht="111.75" customHeight="1">
      <c r="AA1656" s="102"/>
      <c r="AB1656" s="102"/>
      <c r="AC1656" s="103"/>
    </row>
    <row r="1657" spans="27:29" ht="111.75" customHeight="1">
      <c r="AA1657" s="102"/>
      <c r="AB1657" s="102"/>
      <c r="AC1657" s="103"/>
    </row>
    <row r="1658" spans="27:29" ht="111.75" customHeight="1">
      <c r="AA1658" s="102"/>
      <c r="AB1658" s="102"/>
      <c r="AC1658" s="103"/>
    </row>
    <row r="1659" spans="27:29" ht="111.75" customHeight="1">
      <c r="AA1659" s="102"/>
      <c r="AB1659" s="102"/>
      <c r="AC1659" s="103"/>
    </row>
    <row r="1660" spans="27:29" ht="111.75" customHeight="1">
      <c r="AA1660" s="102"/>
      <c r="AB1660" s="102"/>
      <c r="AC1660" s="103"/>
    </row>
    <row r="1661" spans="27:29" ht="111.75" customHeight="1">
      <c r="AA1661" s="102"/>
      <c r="AB1661" s="102"/>
      <c r="AC1661" s="103"/>
    </row>
    <row r="1662" spans="27:29" ht="111.75" customHeight="1">
      <c r="AA1662" s="102"/>
      <c r="AB1662" s="102"/>
      <c r="AC1662" s="103"/>
    </row>
    <row r="1663" spans="27:29" ht="111.75" customHeight="1">
      <c r="AA1663" s="102"/>
      <c r="AB1663" s="102"/>
      <c r="AC1663" s="103"/>
    </row>
    <row r="1664" spans="27:29" ht="111.75" customHeight="1">
      <c r="AA1664" s="102"/>
      <c r="AB1664" s="102"/>
      <c r="AC1664" s="103"/>
    </row>
    <row r="1665" spans="27:29" ht="111.75" customHeight="1">
      <c r="AA1665" s="102"/>
      <c r="AB1665" s="102"/>
      <c r="AC1665" s="103"/>
    </row>
    <row r="1666" spans="27:29" ht="111.75" customHeight="1">
      <c r="AA1666" s="102"/>
      <c r="AB1666" s="102"/>
      <c r="AC1666" s="103"/>
    </row>
    <row r="1667" spans="27:29" ht="111.75" customHeight="1">
      <c r="AA1667" s="102"/>
      <c r="AB1667" s="102"/>
      <c r="AC1667" s="103"/>
    </row>
    <row r="1668" spans="27:29" ht="111.75" customHeight="1">
      <c r="AA1668" s="102"/>
      <c r="AB1668" s="102"/>
      <c r="AC1668" s="103"/>
    </row>
    <row r="1669" spans="27:29" ht="111.75" customHeight="1">
      <c r="AA1669" s="102"/>
      <c r="AB1669" s="102"/>
      <c r="AC1669" s="103"/>
    </row>
    <row r="1670" spans="27:29" ht="111.75" customHeight="1">
      <c r="AA1670" s="102"/>
      <c r="AB1670" s="102"/>
      <c r="AC1670" s="103"/>
    </row>
    <row r="1671" spans="27:29" ht="111.75" customHeight="1">
      <c r="AA1671" s="102"/>
      <c r="AB1671" s="102"/>
      <c r="AC1671" s="103"/>
    </row>
    <row r="1672" spans="27:29" ht="111.75" customHeight="1">
      <c r="AA1672" s="102"/>
      <c r="AB1672" s="102"/>
      <c r="AC1672" s="103"/>
    </row>
    <row r="1673" spans="27:29" ht="111.75" customHeight="1">
      <c r="AA1673" s="102"/>
      <c r="AB1673" s="102"/>
      <c r="AC1673" s="103"/>
    </row>
    <row r="1674" spans="27:29" ht="111.75" customHeight="1">
      <c r="AA1674" s="102"/>
      <c r="AB1674" s="102"/>
      <c r="AC1674" s="103"/>
    </row>
    <row r="1675" spans="27:29" ht="111.75" customHeight="1">
      <c r="AA1675" s="102"/>
      <c r="AB1675" s="102"/>
      <c r="AC1675" s="103"/>
    </row>
    <row r="1676" spans="27:29" ht="111.75" customHeight="1">
      <c r="AA1676" s="102"/>
      <c r="AB1676" s="102"/>
      <c r="AC1676" s="103"/>
    </row>
    <row r="1677" spans="27:29" ht="111.75" customHeight="1">
      <c r="AA1677" s="102"/>
      <c r="AB1677" s="102"/>
      <c r="AC1677" s="103"/>
    </row>
    <row r="1678" spans="27:29" ht="111.75" customHeight="1">
      <c r="AA1678" s="102"/>
      <c r="AB1678" s="102"/>
      <c r="AC1678" s="103"/>
    </row>
    <row r="1679" spans="27:29" ht="111.75" customHeight="1">
      <c r="AA1679" s="102"/>
      <c r="AB1679" s="102"/>
      <c r="AC1679" s="103"/>
    </row>
    <row r="1680" spans="27:29" ht="111.75" customHeight="1">
      <c r="AA1680" s="102"/>
      <c r="AB1680" s="102"/>
      <c r="AC1680" s="103"/>
    </row>
    <row r="1681" spans="27:29" ht="111.75" customHeight="1">
      <c r="AA1681" s="102"/>
      <c r="AB1681" s="102"/>
      <c r="AC1681" s="103"/>
    </row>
    <row r="1682" spans="27:29" ht="111.75" customHeight="1">
      <c r="AA1682" s="102"/>
      <c r="AB1682" s="102"/>
      <c r="AC1682" s="103"/>
    </row>
    <row r="1683" spans="27:29" ht="111.75" customHeight="1">
      <c r="AA1683" s="102"/>
      <c r="AB1683" s="102"/>
      <c r="AC1683" s="103"/>
    </row>
    <row r="1684" spans="27:29" ht="111.75" customHeight="1">
      <c r="AA1684" s="102"/>
      <c r="AB1684" s="102"/>
      <c r="AC1684" s="103"/>
    </row>
    <row r="1685" spans="27:29" ht="111.75" customHeight="1">
      <c r="AA1685" s="102"/>
      <c r="AB1685" s="102"/>
      <c r="AC1685" s="103"/>
    </row>
    <row r="1686" spans="27:29" ht="111.75" customHeight="1">
      <c r="AA1686" s="102"/>
      <c r="AB1686" s="102"/>
      <c r="AC1686" s="103"/>
    </row>
    <row r="1687" spans="27:29" ht="111.75" customHeight="1">
      <c r="AA1687" s="102"/>
      <c r="AB1687" s="102"/>
      <c r="AC1687" s="103"/>
    </row>
    <row r="1688" spans="27:29" ht="111.75" customHeight="1">
      <c r="AA1688" s="102"/>
      <c r="AB1688" s="102"/>
      <c r="AC1688" s="103"/>
    </row>
    <row r="1689" spans="27:29" ht="111.75" customHeight="1">
      <c r="AA1689" s="102"/>
      <c r="AB1689" s="102"/>
      <c r="AC1689" s="103"/>
    </row>
    <row r="1690" spans="27:29" ht="111.75" customHeight="1">
      <c r="AA1690" s="102"/>
      <c r="AB1690" s="102"/>
      <c r="AC1690" s="103"/>
    </row>
    <row r="1691" spans="27:29" ht="111.75" customHeight="1">
      <c r="AA1691" s="102"/>
      <c r="AB1691" s="102"/>
      <c r="AC1691" s="103"/>
    </row>
    <row r="1692" spans="27:29" ht="111.75" customHeight="1">
      <c r="AA1692" s="102"/>
      <c r="AB1692" s="102"/>
      <c r="AC1692" s="103"/>
    </row>
    <row r="1693" spans="27:29" ht="111.75" customHeight="1">
      <c r="AA1693" s="102"/>
      <c r="AB1693" s="102"/>
      <c r="AC1693" s="103"/>
    </row>
    <row r="1694" spans="27:29" ht="111.75" customHeight="1">
      <c r="AA1694" s="102"/>
      <c r="AB1694" s="102"/>
      <c r="AC1694" s="103"/>
    </row>
    <row r="1695" spans="27:29" ht="111.75" customHeight="1">
      <c r="AA1695" s="102"/>
      <c r="AB1695" s="102"/>
      <c r="AC1695" s="103"/>
    </row>
    <row r="1696" spans="27:29" ht="111.75" customHeight="1">
      <c r="AA1696" s="102"/>
      <c r="AB1696" s="102"/>
      <c r="AC1696" s="103"/>
    </row>
    <row r="1697" spans="27:29" ht="111.75" customHeight="1">
      <c r="AA1697" s="102"/>
      <c r="AB1697" s="102"/>
      <c r="AC1697" s="103"/>
    </row>
    <row r="1698" spans="27:29" ht="111.75" customHeight="1">
      <c r="AA1698" s="102"/>
      <c r="AB1698" s="102"/>
      <c r="AC1698" s="103"/>
    </row>
    <row r="1699" spans="27:29" ht="111.75" customHeight="1">
      <c r="AA1699" s="102"/>
      <c r="AB1699" s="102"/>
      <c r="AC1699" s="103"/>
    </row>
    <row r="1700" spans="27:29" ht="111.75" customHeight="1">
      <c r="AA1700" s="102"/>
      <c r="AB1700" s="102"/>
      <c r="AC1700" s="103"/>
    </row>
    <row r="1701" spans="27:29" ht="111.75" customHeight="1">
      <c r="AA1701" s="102"/>
      <c r="AB1701" s="102"/>
      <c r="AC1701" s="103"/>
    </row>
    <row r="1702" spans="27:29" ht="111.75" customHeight="1">
      <c r="AA1702" s="102"/>
      <c r="AB1702" s="102"/>
      <c r="AC1702" s="103"/>
    </row>
    <row r="1703" spans="27:29" ht="111.75" customHeight="1">
      <c r="AA1703" s="102"/>
      <c r="AB1703" s="102"/>
      <c r="AC1703" s="103"/>
    </row>
    <row r="1704" spans="27:29" ht="111.75" customHeight="1">
      <c r="AA1704" s="102"/>
      <c r="AB1704" s="102"/>
      <c r="AC1704" s="103"/>
    </row>
    <row r="1705" spans="27:29" ht="111.75" customHeight="1">
      <c r="AA1705" s="102"/>
      <c r="AB1705" s="102"/>
      <c r="AC1705" s="103"/>
    </row>
    <row r="1706" spans="27:29" ht="111.75" customHeight="1">
      <c r="AA1706" s="102"/>
      <c r="AB1706" s="102"/>
      <c r="AC1706" s="103"/>
    </row>
    <row r="1707" spans="27:29" ht="111.75" customHeight="1">
      <c r="AA1707" s="102"/>
      <c r="AB1707" s="102"/>
      <c r="AC1707" s="103"/>
    </row>
    <row r="1708" spans="27:29" ht="111.75" customHeight="1">
      <c r="AA1708" s="102"/>
      <c r="AB1708" s="102"/>
      <c r="AC1708" s="103"/>
    </row>
    <row r="1709" spans="27:29" ht="111.75" customHeight="1">
      <c r="AA1709" s="102"/>
      <c r="AB1709" s="102"/>
      <c r="AC1709" s="103"/>
    </row>
    <row r="1710" spans="27:29" ht="111.75" customHeight="1">
      <c r="AA1710" s="102"/>
      <c r="AB1710" s="102"/>
      <c r="AC1710" s="103"/>
    </row>
    <row r="1711" spans="27:29" ht="111.75" customHeight="1">
      <c r="AA1711" s="102"/>
      <c r="AB1711" s="102"/>
      <c r="AC1711" s="103"/>
    </row>
    <row r="1712" spans="27:29" ht="111.75" customHeight="1">
      <c r="AA1712" s="102"/>
      <c r="AB1712" s="102"/>
      <c r="AC1712" s="103"/>
    </row>
    <row r="1713" spans="27:29" ht="111.75" customHeight="1">
      <c r="AA1713" s="102"/>
      <c r="AB1713" s="102"/>
      <c r="AC1713" s="103"/>
    </row>
    <row r="1714" spans="27:29" ht="111.75" customHeight="1">
      <c r="AA1714" s="102"/>
      <c r="AB1714" s="102"/>
      <c r="AC1714" s="103"/>
    </row>
    <row r="1715" spans="27:29" ht="111.75" customHeight="1">
      <c r="AA1715" s="102"/>
      <c r="AB1715" s="102"/>
      <c r="AC1715" s="103"/>
    </row>
    <row r="1716" spans="27:29" ht="111.75" customHeight="1">
      <c r="AA1716" s="102"/>
      <c r="AB1716" s="102"/>
      <c r="AC1716" s="103"/>
    </row>
    <row r="1717" spans="27:29" ht="111.75" customHeight="1">
      <c r="AA1717" s="102"/>
      <c r="AB1717" s="102"/>
      <c r="AC1717" s="103"/>
    </row>
    <row r="1718" spans="27:29" ht="111.75" customHeight="1">
      <c r="AA1718" s="102"/>
      <c r="AB1718" s="102"/>
      <c r="AC1718" s="103"/>
    </row>
    <row r="1719" spans="27:29" ht="111.75" customHeight="1">
      <c r="AA1719" s="102"/>
      <c r="AB1719" s="102"/>
      <c r="AC1719" s="103"/>
    </row>
    <row r="1720" spans="27:29" ht="111.75" customHeight="1">
      <c r="AA1720" s="102"/>
      <c r="AB1720" s="102"/>
      <c r="AC1720" s="103"/>
    </row>
    <row r="1721" spans="27:29" ht="111.75" customHeight="1">
      <c r="AA1721" s="102"/>
      <c r="AB1721" s="102"/>
      <c r="AC1721" s="103"/>
    </row>
    <row r="1722" spans="27:29" ht="111.75" customHeight="1">
      <c r="AA1722" s="102"/>
      <c r="AB1722" s="102"/>
      <c r="AC1722" s="103"/>
    </row>
    <row r="1723" spans="27:29" ht="111.75" customHeight="1">
      <c r="AA1723" s="102"/>
      <c r="AB1723" s="102"/>
      <c r="AC1723" s="103"/>
    </row>
    <row r="1724" spans="27:29" ht="111.75" customHeight="1">
      <c r="AA1724" s="102"/>
      <c r="AB1724" s="102"/>
      <c r="AC1724" s="103"/>
    </row>
    <row r="1725" spans="27:29" ht="111.75" customHeight="1">
      <c r="AA1725" s="102"/>
      <c r="AB1725" s="102"/>
      <c r="AC1725" s="103"/>
    </row>
    <row r="1726" spans="27:29" ht="111.75" customHeight="1">
      <c r="AA1726" s="102"/>
      <c r="AB1726" s="102"/>
      <c r="AC1726" s="103"/>
    </row>
    <row r="1727" spans="27:29" ht="111.75" customHeight="1">
      <c r="AA1727" s="102"/>
      <c r="AB1727" s="102"/>
      <c r="AC1727" s="103"/>
    </row>
    <row r="1728" spans="27:29" ht="111.75" customHeight="1">
      <c r="AA1728" s="102"/>
      <c r="AB1728" s="102"/>
      <c r="AC1728" s="103"/>
    </row>
    <row r="1729" spans="27:29" ht="111.75" customHeight="1">
      <c r="AA1729" s="102"/>
      <c r="AB1729" s="102"/>
      <c r="AC1729" s="103"/>
    </row>
    <row r="1730" spans="27:29" ht="111.75" customHeight="1">
      <c r="AA1730" s="102"/>
      <c r="AB1730" s="102"/>
      <c r="AC1730" s="103"/>
    </row>
    <row r="1731" spans="27:29" ht="111.75" customHeight="1">
      <c r="AA1731" s="102"/>
      <c r="AB1731" s="102"/>
      <c r="AC1731" s="103"/>
    </row>
    <row r="1732" spans="27:29" ht="111.75" customHeight="1">
      <c r="AA1732" s="102"/>
      <c r="AB1732" s="102"/>
      <c r="AC1732" s="103"/>
    </row>
    <row r="1733" spans="27:29" ht="111.75" customHeight="1">
      <c r="AA1733" s="102"/>
      <c r="AB1733" s="102"/>
      <c r="AC1733" s="103"/>
    </row>
    <row r="1734" spans="27:29" ht="111.75" customHeight="1">
      <c r="AA1734" s="102"/>
      <c r="AB1734" s="102"/>
      <c r="AC1734" s="103"/>
    </row>
    <row r="1735" spans="27:29" ht="111.75" customHeight="1">
      <c r="AA1735" s="102"/>
      <c r="AB1735" s="102"/>
      <c r="AC1735" s="103"/>
    </row>
    <row r="1736" spans="27:29" ht="111.75" customHeight="1">
      <c r="AA1736" s="102"/>
      <c r="AB1736" s="102"/>
      <c r="AC1736" s="103"/>
    </row>
    <row r="1737" spans="27:29" ht="111.75" customHeight="1">
      <c r="AA1737" s="102"/>
      <c r="AB1737" s="102"/>
      <c r="AC1737" s="103"/>
    </row>
    <row r="1738" spans="27:29" ht="111.75" customHeight="1">
      <c r="AA1738" s="102"/>
      <c r="AB1738" s="102"/>
      <c r="AC1738" s="103"/>
    </row>
    <row r="1739" spans="27:29" ht="111.75" customHeight="1">
      <c r="AA1739" s="102"/>
      <c r="AB1739" s="102"/>
      <c r="AC1739" s="103"/>
    </row>
    <row r="1740" spans="27:29" ht="111.75" customHeight="1">
      <c r="AA1740" s="102"/>
      <c r="AB1740" s="102"/>
      <c r="AC1740" s="103"/>
    </row>
    <row r="1741" spans="27:29" ht="111.75" customHeight="1">
      <c r="AA1741" s="102"/>
      <c r="AB1741" s="102"/>
      <c r="AC1741" s="103"/>
    </row>
    <row r="1742" spans="27:29" ht="111.75" customHeight="1">
      <c r="AA1742" s="102"/>
      <c r="AB1742" s="102"/>
      <c r="AC1742" s="103"/>
    </row>
    <row r="1743" spans="27:29" ht="111.75" customHeight="1">
      <c r="AA1743" s="102"/>
      <c r="AB1743" s="102"/>
      <c r="AC1743" s="103"/>
    </row>
    <row r="1744" spans="27:29" ht="111.75" customHeight="1">
      <c r="AA1744" s="102"/>
      <c r="AB1744" s="102"/>
      <c r="AC1744" s="103"/>
    </row>
    <row r="1745" spans="27:29" ht="111.75" customHeight="1">
      <c r="AA1745" s="102"/>
      <c r="AB1745" s="102"/>
      <c r="AC1745" s="103"/>
    </row>
    <row r="1746" spans="27:29" ht="111.75" customHeight="1">
      <c r="AA1746" s="102"/>
      <c r="AB1746" s="102"/>
      <c r="AC1746" s="103"/>
    </row>
    <row r="1747" spans="27:29" ht="111.75" customHeight="1">
      <c r="AA1747" s="102"/>
      <c r="AB1747" s="102"/>
      <c r="AC1747" s="103"/>
    </row>
    <row r="1748" spans="27:29" ht="111.75" customHeight="1">
      <c r="AA1748" s="102"/>
      <c r="AB1748" s="102"/>
      <c r="AC1748" s="103"/>
    </row>
    <row r="1749" spans="27:29" ht="111.75" customHeight="1">
      <c r="AA1749" s="102"/>
      <c r="AB1749" s="102"/>
      <c r="AC1749" s="103"/>
    </row>
    <row r="1750" spans="27:29" ht="111.75" customHeight="1">
      <c r="AA1750" s="102"/>
      <c r="AB1750" s="102"/>
      <c r="AC1750" s="103"/>
    </row>
    <row r="1751" spans="27:29" ht="111.75" customHeight="1">
      <c r="AA1751" s="102"/>
      <c r="AB1751" s="102"/>
      <c r="AC1751" s="103"/>
    </row>
    <row r="1752" spans="27:29" ht="111.75" customHeight="1">
      <c r="AA1752" s="102"/>
      <c r="AB1752" s="102"/>
      <c r="AC1752" s="103"/>
    </row>
    <row r="1753" spans="27:29" ht="111.75" customHeight="1">
      <c r="AA1753" s="102"/>
      <c r="AB1753" s="102"/>
      <c r="AC1753" s="103"/>
    </row>
    <row r="1754" spans="27:29" ht="111.75" customHeight="1">
      <c r="AA1754" s="102"/>
      <c r="AB1754" s="102"/>
      <c r="AC1754" s="103"/>
    </row>
    <row r="1755" spans="27:29" ht="111.75" customHeight="1">
      <c r="AA1755" s="102"/>
      <c r="AB1755" s="102"/>
      <c r="AC1755" s="103"/>
    </row>
    <row r="1756" spans="27:29" ht="111.75" customHeight="1">
      <c r="AA1756" s="102"/>
      <c r="AB1756" s="102"/>
      <c r="AC1756" s="103"/>
    </row>
    <row r="1757" spans="27:29" ht="111.75" customHeight="1">
      <c r="AA1757" s="102"/>
      <c r="AB1757" s="102"/>
      <c r="AC1757" s="103"/>
    </row>
    <row r="1758" spans="27:29" ht="111.75" customHeight="1">
      <c r="AA1758" s="102"/>
      <c r="AB1758" s="102"/>
      <c r="AC1758" s="103"/>
    </row>
    <row r="1759" spans="27:29" ht="111.75" customHeight="1">
      <c r="AA1759" s="102"/>
      <c r="AB1759" s="102"/>
      <c r="AC1759" s="103"/>
    </row>
    <row r="1760" spans="27:29" ht="111.75" customHeight="1">
      <c r="AA1760" s="102"/>
      <c r="AB1760" s="102"/>
      <c r="AC1760" s="103"/>
    </row>
    <row r="1761" spans="27:29" ht="111.75" customHeight="1">
      <c r="AA1761" s="102"/>
      <c r="AB1761" s="102"/>
      <c r="AC1761" s="103"/>
    </row>
    <row r="1762" spans="27:29" ht="111.75" customHeight="1">
      <c r="AA1762" s="102"/>
      <c r="AB1762" s="102"/>
      <c r="AC1762" s="103"/>
    </row>
    <row r="1763" spans="27:29" ht="111.75" customHeight="1">
      <c r="AA1763" s="102"/>
      <c r="AB1763" s="102"/>
      <c r="AC1763" s="103"/>
    </row>
    <row r="1764" spans="27:29" ht="111.75" customHeight="1">
      <c r="AA1764" s="102"/>
      <c r="AB1764" s="102"/>
      <c r="AC1764" s="103"/>
    </row>
    <row r="1765" spans="27:29" ht="111.75" customHeight="1">
      <c r="AA1765" s="102"/>
      <c r="AB1765" s="102"/>
      <c r="AC1765" s="103"/>
    </row>
    <row r="1766" spans="27:29" ht="111.75" customHeight="1">
      <c r="AA1766" s="102"/>
      <c r="AB1766" s="102"/>
      <c r="AC1766" s="103"/>
    </row>
    <row r="1767" spans="27:29" ht="111.75" customHeight="1">
      <c r="AA1767" s="102"/>
      <c r="AB1767" s="102"/>
      <c r="AC1767" s="103"/>
    </row>
    <row r="1768" spans="27:29" ht="111.75" customHeight="1">
      <c r="AA1768" s="102"/>
      <c r="AB1768" s="102"/>
      <c r="AC1768" s="103"/>
    </row>
    <row r="1769" spans="27:29" ht="111.75" customHeight="1">
      <c r="AA1769" s="102"/>
      <c r="AB1769" s="102"/>
      <c r="AC1769" s="103"/>
    </row>
    <row r="1770" spans="27:29" ht="111.75" customHeight="1">
      <c r="AA1770" s="102"/>
      <c r="AB1770" s="102"/>
      <c r="AC1770" s="103"/>
    </row>
    <row r="1771" spans="27:29" ht="111.75" customHeight="1">
      <c r="AA1771" s="102"/>
      <c r="AB1771" s="102"/>
      <c r="AC1771" s="103"/>
    </row>
    <row r="1772" spans="27:29" ht="111.75" customHeight="1">
      <c r="AA1772" s="102"/>
      <c r="AB1772" s="102"/>
      <c r="AC1772" s="103"/>
    </row>
    <row r="1773" spans="27:29" ht="111.75" customHeight="1">
      <c r="AA1773" s="102"/>
      <c r="AB1773" s="102"/>
      <c r="AC1773" s="103"/>
    </row>
    <row r="1774" spans="27:29" ht="111.75" customHeight="1">
      <c r="AA1774" s="102"/>
      <c r="AB1774" s="102"/>
      <c r="AC1774" s="103"/>
    </row>
    <row r="1775" spans="27:29" ht="111.75" customHeight="1">
      <c r="AA1775" s="102"/>
      <c r="AB1775" s="102"/>
      <c r="AC1775" s="103"/>
    </row>
    <row r="1776" spans="27:29" ht="111.75" customHeight="1">
      <c r="AA1776" s="102"/>
      <c r="AB1776" s="102"/>
      <c r="AC1776" s="103"/>
    </row>
    <row r="1777" spans="27:29" ht="111.75" customHeight="1">
      <c r="AA1777" s="102"/>
      <c r="AB1777" s="102"/>
      <c r="AC1777" s="103"/>
    </row>
    <row r="1778" spans="27:29" ht="111.75" customHeight="1">
      <c r="AA1778" s="102"/>
      <c r="AB1778" s="102"/>
      <c r="AC1778" s="103"/>
    </row>
    <row r="1779" spans="27:29" ht="111.75" customHeight="1">
      <c r="AA1779" s="102"/>
      <c r="AB1779" s="102"/>
      <c r="AC1779" s="103"/>
    </row>
    <row r="1780" spans="27:29" ht="111.75" customHeight="1">
      <c r="AA1780" s="102"/>
      <c r="AB1780" s="102"/>
      <c r="AC1780" s="103"/>
    </row>
    <row r="1781" spans="27:29" ht="111.75" customHeight="1">
      <c r="AA1781" s="102"/>
      <c r="AB1781" s="102"/>
      <c r="AC1781" s="103"/>
    </row>
    <row r="1782" spans="27:29" ht="111.75" customHeight="1">
      <c r="AA1782" s="102"/>
      <c r="AB1782" s="102"/>
      <c r="AC1782" s="103"/>
    </row>
    <row r="1783" spans="27:29" ht="111.75" customHeight="1">
      <c r="AA1783" s="102"/>
      <c r="AB1783" s="102"/>
      <c r="AC1783" s="103"/>
    </row>
    <row r="1784" spans="27:29" ht="111.75" customHeight="1">
      <c r="AA1784" s="102"/>
      <c r="AB1784" s="102"/>
      <c r="AC1784" s="103"/>
    </row>
    <row r="1785" spans="27:29" ht="111.75" customHeight="1">
      <c r="AA1785" s="102"/>
      <c r="AB1785" s="102"/>
      <c r="AC1785" s="103"/>
    </row>
    <row r="1786" spans="27:29" ht="111.75" customHeight="1">
      <c r="AA1786" s="102"/>
      <c r="AB1786" s="102"/>
      <c r="AC1786" s="103"/>
    </row>
    <row r="1787" spans="27:29" ht="111.75" customHeight="1">
      <c r="AA1787" s="102"/>
      <c r="AB1787" s="102"/>
      <c r="AC1787" s="103"/>
    </row>
    <row r="1788" spans="27:29" ht="111.75" customHeight="1">
      <c r="AA1788" s="102"/>
      <c r="AB1788" s="102"/>
      <c r="AC1788" s="103"/>
    </row>
    <row r="1789" spans="27:29" ht="111.75" customHeight="1">
      <c r="AA1789" s="102"/>
      <c r="AB1789" s="102"/>
      <c r="AC1789" s="103"/>
    </row>
    <row r="1790" spans="27:29" ht="111.75" customHeight="1">
      <c r="AA1790" s="102"/>
      <c r="AB1790" s="102"/>
      <c r="AC1790" s="103"/>
    </row>
    <row r="1791" spans="27:29" ht="111.75" customHeight="1">
      <c r="AA1791" s="102"/>
      <c r="AB1791" s="102"/>
      <c r="AC1791" s="103"/>
    </row>
    <row r="1792" spans="27:29" ht="111.75" customHeight="1">
      <c r="AA1792" s="102"/>
      <c r="AB1792" s="102"/>
      <c r="AC1792" s="103"/>
    </row>
    <row r="1793" spans="27:29" ht="111.75" customHeight="1">
      <c r="AA1793" s="102"/>
      <c r="AB1793" s="102"/>
      <c r="AC1793" s="103"/>
    </row>
    <row r="1794" spans="27:29" ht="111.75" customHeight="1">
      <c r="AA1794" s="102"/>
      <c r="AB1794" s="102"/>
      <c r="AC1794" s="103"/>
    </row>
    <row r="1795" spans="27:29" ht="111.75" customHeight="1">
      <c r="AA1795" s="102"/>
      <c r="AB1795" s="102"/>
      <c r="AC1795" s="103"/>
    </row>
    <row r="1796" spans="27:29" ht="111.75" customHeight="1">
      <c r="AA1796" s="102"/>
      <c r="AB1796" s="102"/>
      <c r="AC1796" s="103"/>
    </row>
    <row r="1797" spans="27:29" ht="111.75" customHeight="1">
      <c r="AA1797" s="102"/>
      <c r="AB1797" s="102"/>
      <c r="AC1797" s="103"/>
    </row>
    <row r="1798" spans="27:29" ht="111.75" customHeight="1">
      <c r="AA1798" s="102"/>
      <c r="AB1798" s="102"/>
      <c r="AC1798" s="103"/>
    </row>
    <row r="1799" spans="27:29" ht="111.75" customHeight="1">
      <c r="AA1799" s="102"/>
      <c r="AB1799" s="102"/>
      <c r="AC1799" s="103"/>
    </row>
    <row r="1800" spans="27:29" ht="111.75" customHeight="1">
      <c r="AA1800" s="102"/>
      <c r="AB1800" s="102"/>
      <c r="AC1800" s="103"/>
    </row>
    <row r="1801" spans="27:29" ht="111.75" customHeight="1">
      <c r="AA1801" s="102"/>
      <c r="AB1801" s="102"/>
      <c r="AC1801" s="103"/>
    </row>
    <row r="1802" spans="27:29" ht="111.75" customHeight="1">
      <c r="AA1802" s="102"/>
      <c r="AB1802" s="102"/>
      <c r="AC1802" s="103"/>
    </row>
    <row r="1803" spans="27:29" ht="111.75" customHeight="1">
      <c r="AA1803" s="102"/>
      <c r="AB1803" s="102"/>
      <c r="AC1803" s="103"/>
    </row>
    <row r="1804" spans="27:29" ht="111.75" customHeight="1">
      <c r="AA1804" s="102"/>
      <c r="AB1804" s="102"/>
      <c r="AC1804" s="103"/>
    </row>
    <row r="1805" spans="27:29" ht="111.75" customHeight="1">
      <c r="AA1805" s="102"/>
      <c r="AB1805" s="102"/>
      <c r="AC1805" s="103"/>
    </row>
    <row r="1806" spans="27:29" ht="111.75" customHeight="1">
      <c r="AA1806" s="102"/>
      <c r="AB1806" s="102"/>
      <c r="AC1806" s="103"/>
    </row>
    <row r="1807" spans="27:29" ht="111.75" customHeight="1">
      <c r="AA1807" s="102"/>
      <c r="AB1807" s="102"/>
      <c r="AC1807" s="103"/>
    </row>
    <row r="1808" spans="27:29" ht="111.75" customHeight="1">
      <c r="AA1808" s="102"/>
      <c r="AB1808" s="102"/>
      <c r="AC1808" s="103"/>
    </row>
    <row r="1809" spans="27:29" ht="111.75" customHeight="1">
      <c r="AA1809" s="102"/>
      <c r="AB1809" s="102"/>
      <c r="AC1809" s="103"/>
    </row>
    <row r="1810" spans="27:29" ht="111.75" customHeight="1">
      <c r="AA1810" s="102"/>
      <c r="AB1810" s="102"/>
      <c r="AC1810" s="103"/>
    </row>
    <row r="1811" spans="27:29" ht="111.75" customHeight="1">
      <c r="AA1811" s="102"/>
      <c r="AB1811" s="102"/>
      <c r="AC1811" s="103"/>
    </row>
    <row r="1812" spans="27:29" ht="111.75" customHeight="1">
      <c r="AA1812" s="102"/>
      <c r="AB1812" s="102"/>
      <c r="AC1812" s="103"/>
    </row>
    <row r="1813" spans="27:29" ht="111.75" customHeight="1">
      <c r="AA1813" s="102"/>
      <c r="AB1813" s="102"/>
      <c r="AC1813" s="103"/>
    </row>
    <row r="1814" spans="27:29" ht="111.75" customHeight="1">
      <c r="AA1814" s="102"/>
      <c r="AB1814" s="102"/>
      <c r="AC1814" s="103"/>
    </row>
    <row r="1815" spans="27:29" ht="111.75" customHeight="1">
      <c r="AA1815" s="102"/>
      <c r="AB1815" s="102"/>
      <c r="AC1815" s="103"/>
    </row>
    <row r="1816" spans="27:29" ht="111.75" customHeight="1">
      <c r="AA1816" s="102"/>
      <c r="AB1816" s="102"/>
      <c r="AC1816" s="103"/>
    </row>
    <row r="1817" spans="27:29" ht="111.75" customHeight="1">
      <c r="AA1817" s="102"/>
      <c r="AB1817" s="102"/>
      <c r="AC1817" s="103"/>
    </row>
    <row r="1818" spans="27:29" ht="111.75" customHeight="1">
      <c r="AA1818" s="102"/>
      <c r="AB1818" s="102"/>
      <c r="AC1818" s="103"/>
    </row>
    <row r="1819" spans="27:29" ht="111.75" customHeight="1">
      <c r="AA1819" s="102"/>
      <c r="AB1819" s="102"/>
      <c r="AC1819" s="103"/>
    </row>
    <row r="1820" spans="27:29" ht="111.75" customHeight="1">
      <c r="AA1820" s="102"/>
      <c r="AB1820" s="102"/>
      <c r="AC1820" s="103"/>
    </row>
    <row r="1821" spans="27:29" ht="111.75" customHeight="1">
      <c r="AA1821" s="102"/>
      <c r="AB1821" s="102"/>
      <c r="AC1821" s="103"/>
    </row>
    <row r="1822" spans="27:29" ht="111.75" customHeight="1">
      <c r="AA1822" s="102"/>
      <c r="AB1822" s="102"/>
      <c r="AC1822" s="103"/>
    </row>
    <row r="1823" spans="27:29" ht="111.75" customHeight="1">
      <c r="AA1823" s="102"/>
      <c r="AB1823" s="102"/>
      <c r="AC1823" s="103"/>
    </row>
    <row r="1824" spans="27:29" ht="111.75" customHeight="1">
      <c r="AA1824" s="102"/>
      <c r="AB1824" s="102"/>
      <c r="AC1824" s="103"/>
    </row>
    <row r="1825" spans="27:29" ht="111.75" customHeight="1">
      <c r="AA1825" s="102"/>
      <c r="AB1825" s="102"/>
      <c r="AC1825" s="103"/>
    </row>
    <row r="1826" spans="27:29" ht="111.75" customHeight="1">
      <c r="AA1826" s="102"/>
      <c r="AB1826" s="102"/>
      <c r="AC1826" s="103"/>
    </row>
    <row r="1827" spans="27:29" ht="111.75" customHeight="1">
      <c r="AA1827" s="102"/>
      <c r="AB1827" s="102"/>
      <c r="AC1827" s="103"/>
    </row>
    <row r="1828" spans="27:29" ht="111.75" customHeight="1">
      <c r="AA1828" s="102"/>
      <c r="AB1828" s="102"/>
      <c r="AC1828" s="103"/>
    </row>
    <row r="1829" spans="27:29" ht="111.75" customHeight="1">
      <c r="AA1829" s="102"/>
      <c r="AB1829" s="102"/>
      <c r="AC1829" s="103"/>
    </row>
    <row r="1830" spans="27:29" ht="111.75" customHeight="1">
      <c r="AA1830" s="102"/>
      <c r="AB1830" s="102"/>
      <c r="AC1830" s="103"/>
    </row>
    <row r="1831" spans="27:29" ht="111.75" customHeight="1">
      <c r="AA1831" s="102"/>
      <c r="AB1831" s="102"/>
      <c r="AC1831" s="103"/>
    </row>
    <row r="1832" spans="27:29" ht="111.75" customHeight="1">
      <c r="AA1832" s="102"/>
      <c r="AB1832" s="102"/>
      <c r="AC1832" s="103"/>
    </row>
    <row r="1833" spans="27:29" ht="111.75" customHeight="1">
      <c r="AA1833" s="102"/>
      <c r="AB1833" s="102"/>
      <c r="AC1833" s="103"/>
    </row>
    <row r="1834" spans="27:29" ht="111.75" customHeight="1">
      <c r="AA1834" s="102"/>
      <c r="AB1834" s="102"/>
      <c r="AC1834" s="103"/>
    </row>
    <row r="1835" spans="27:29" ht="111.75" customHeight="1">
      <c r="AA1835" s="102"/>
      <c r="AB1835" s="102"/>
      <c r="AC1835" s="103"/>
    </row>
    <row r="1836" spans="27:29" ht="111.75" customHeight="1">
      <c r="AA1836" s="102"/>
      <c r="AB1836" s="102"/>
      <c r="AC1836" s="103"/>
    </row>
    <row r="1837" spans="27:29" ht="111.75" customHeight="1">
      <c r="AA1837" s="102"/>
      <c r="AB1837" s="102"/>
      <c r="AC1837" s="103"/>
    </row>
    <row r="1838" spans="27:29" ht="111.75" customHeight="1">
      <c r="AA1838" s="102"/>
      <c r="AB1838" s="102"/>
      <c r="AC1838" s="103"/>
    </row>
    <row r="1839" spans="27:29" ht="111.75" customHeight="1">
      <c r="AA1839" s="102"/>
      <c r="AB1839" s="102"/>
      <c r="AC1839" s="103"/>
    </row>
    <row r="1840" spans="27:29" ht="111.75" customHeight="1">
      <c r="AA1840" s="102"/>
      <c r="AB1840" s="102"/>
      <c r="AC1840" s="103"/>
    </row>
    <row r="1841" spans="27:29" ht="111.75" customHeight="1">
      <c r="AA1841" s="102"/>
      <c r="AB1841" s="102"/>
      <c r="AC1841" s="103"/>
    </row>
    <row r="1842" spans="27:29" ht="111.75" customHeight="1">
      <c r="AA1842" s="102"/>
      <c r="AB1842" s="102"/>
      <c r="AC1842" s="103"/>
    </row>
    <row r="1843" spans="27:29" ht="111.75" customHeight="1">
      <c r="AA1843" s="102"/>
      <c r="AB1843" s="102"/>
      <c r="AC1843" s="103"/>
    </row>
    <row r="1844" spans="27:29" ht="111.75" customHeight="1">
      <c r="AA1844" s="102"/>
      <c r="AB1844" s="102"/>
      <c r="AC1844" s="103"/>
    </row>
    <row r="1845" spans="27:29" ht="111.75" customHeight="1">
      <c r="AA1845" s="102"/>
      <c r="AB1845" s="102"/>
      <c r="AC1845" s="103"/>
    </row>
    <row r="1846" spans="27:29" ht="111.75" customHeight="1">
      <c r="AA1846" s="102"/>
      <c r="AB1846" s="102"/>
      <c r="AC1846" s="103"/>
    </row>
    <row r="1847" spans="27:29" ht="111.75" customHeight="1">
      <c r="AA1847" s="102"/>
      <c r="AB1847" s="102"/>
      <c r="AC1847" s="103"/>
    </row>
    <row r="1848" spans="27:29" ht="111.75" customHeight="1">
      <c r="AA1848" s="102"/>
      <c r="AB1848" s="102"/>
      <c r="AC1848" s="103"/>
    </row>
    <row r="1849" spans="27:29" ht="111.75" customHeight="1">
      <c r="AA1849" s="102"/>
      <c r="AB1849" s="102"/>
      <c r="AC1849" s="103"/>
    </row>
    <row r="1850" spans="27:29" ht="111.75" customHeight="1">
      <c r="AA1850" s="102"/>
      <c r="AB1850" s="102"/>
      <c r="AC1850" s="103"/>
    </row>
    <row r="1851" spans="27:29" ht="111.75" customHeight="1">
      <c r="AA1851" s="102"/>
      <c r="AB1851" s="102"/>
      <c r="AC1851" s="103"/>
    </row>
    <row r="1852" spans="27:29" ht="111.75" customHeight="1">
      <c r="AA1852" s="102"/>
      <c r="AB1852" s="102"/>
      <c r="AC1852" s="103"/>
    </row>
    <row r="1853" spans="27:29" ht="111.75" customHeight="1">
      <c r="AA1853" s="102"/>
      <c r="AB1853" s="102"/>
      <c r="AC1853" s="103"/>
    </row>
    <row r="1854" spans="27:29" ht="111.75" customHeight="1">
      <c r="AA1854" s="102"/>
      <c r="AB1854" s="102"/>
      <c r="AC1854" s="103"/>
    </row>
    <row r="1855" spans="27:29" ht="111.75" customHeight="1">
      <c r="AA1855" s="102"/>
      <c r="AB1855" s="102"/>
      <c r="AC1855" s="103"/>
    </row>
    <row r="1856" spans="27:29" ht="111.75" customHeight="1">
      <c r="AA1856" s="102"/>
      <c r="AB1856" s="102"/>
      <c r="AC1856" s="103"/>
    </row>
    <row r="1857" spans="27:29" ht="111.75" customHeight="1">
      <c r="AA1857" s="102"/>
      <c r="AB1857" s="102"/>
      <c r="AC1857" s="103"/>
    </row>
    <row r="1858" spans="27:29" ht="111.75" customHeight="1">
      <c r="AA1858" s="102"/>
      <c r="AB1858" s="102"/>
      <c r="AC1858" s="103"/>
    </row>
    <row r="1859" spans="27:29" ht="111.75" customHeight="1">
      <c r="AA1859" s="102"/>
      <c r="AB1859" s="102"/>
      <c r="AC1859" s="103"/>
    </row>
    <row r="1860" spans="27:29" ht="111.75" customHeight="1">
      <c r="AA1860" s="102"/>
      <c r="AB1860" s="102"/>
      <c r="AC1860" s="103"/>
    </row>
    <row r="1861" spans="27:29" ht="111.75" customHeight="1">
      <c r="AA1861" s="102"/>
      <c r="AB1861" s="102"/>
      <c r="AC1861" s="103"/>
    </row>
    <row r="1862" spans="27:29" ht="111.75" customHeight="1">
      <c r="AA1862" s="102"/>
      <c r="AB1862" s="102"/>
      <c r="AC1862" s="103"/>
    </row>
    <row r="1863" spans="27:29" ht="111.75" customHeight="1">
      <c r="AA1863" s="102"/>
      <c r="AB1863" s="102"/>
      <c r="AC1863" s="103"/>
    </row>
    <row r="1864" spans="27:29" ht="111.75" customHeight="1">
      <c r="AA1864" s="102"/>
      <c r="AB1864" s="102"/>
      <c r="AC1864" s="103"/>
    </row>
    <row r="1865" spans="27:29" ht="111.75" customHeight="1">
      <c r="AA1865" s="102"/>
      <c r="AB1865" s="102"/>
      <c r="AC1865" s="103"/>
    </row>
    <row r="1866" spans="27:29" ht="111.75" customHeight="1">
      <c r="AA1866" s="102"/>
      <c r="AB1866" s="102"/>
      <c r="AC1866" s="103"/>
    </row>
    <row r="1867" spans="27:29" ht="111.75" customHeight="1">
      <c r="AA1867" s="102"/>
      <c r="AB1867" s="102"/>
      <c r="AC1867" s="103"/>
    </row>
    <row r="1868" spans="27:29" ht="111.75" customHeight="1">
      <c r="AA1868" s="102"/>
      <c r="AB1868" s="102"/>
      <c r="AC1868" s="103"/>
    </row>
    <row r="1869" spans="27:29" ht="111.75" customHeight="1">
      <c r="AA1869" s="102"/>
      <c r="AB1869" s="102"/>
      <c r="AC1869" s="103"/>
    </row>
    <row r="1870" spans="27:29" ht="111.75" customHeight="1">
      <c r="AA1870" s="102"/>
      <c r="AB1870" s="102"/>
      <c r="AC1870" s="103"/>
    </row>
    <row r="1871" spans="27:29" ht="111.75" customHeight="1">
      <c r="AA1871" s="102"/>
      <c r="AB1871" s="102"/>
      <c r="AC1871" s="103"/>
    </row>
    <row r="1872" spans="27:29" ht="111.75" customHeight="1">
      <c r="AA1872" s="102"/>
      <c r="AB1872" s="102"/>
      <c r="AC1872" s="103"/>
    </row>
    <row r="1873" spans="27:29" ht="111.75" customHeight="1">
      <c r="AA1873" s="102"/>
      <c r="AB1873" s="102"/>
      <c r="AC1873" s="103"/>
    </row>
    <row r="1874" spans="27:29" ht="111.75" customHeight="1">
      <c r="AA1874" s="102"/>
      <c r="AB1874" s="102"/>
      <c r="AC1874" s="103"/>
    </row>
    <row r="1875" spans="27:29" ht="111.75" customHeight="1">
      <c r="AA1875" s="102"/>
      <c r="AB1875" s="102"/>
      <c r="AC1875" s="103"/>
    </row>
    <row r="1876" spans="27:29" ht="111.75" customHeight="1">
      <c r="AA1876" s="102"/>
      <c r="AB1876" s="102"/>
      <c r="AC1876" s="103"/>
    </row>
    <row r="1877" spans="27:29" ht="111.75" customHeight="1">
      <c r="AA1877" s="102"/>
      <c r="AB1877" s="102"/>
      <c r="AC1877" s="103"/>
    </row>
    <row r="1878" spans="27:29" ht="111.75" customHeight="1">
      <c r="AA1878" s="102"/>
      <c r="AB1878" s="102"/>
      <c r="AC1878" s="103"/>
    </row>
    <row r="1879" spans="27:29" ht="111.75" customHeight="1">
      <c r="AA1879" s="102"/>
      <c r="AB1879" s="102"/>
      <c r="AC1879" s="103"/>
    </row>
    <row r="1880" spans="27:29" ht="111.75" customHeight="1">
      <c r="AA1880" s="102"/>
      <c r="AB1880" s="102"/>
      <c r="AC1880" s="103"/>
    </row>
    <row r="1881" spans="27:29" ht="111.75" customHeight="1">
      <c r="AA1881" s="102"/>
      <c r="AB1881" s="102"/>
      <c r="AC1881" s="103"/>
    </row>
    <row r="1882" spans="27:29" ht="111.75" customHeight="1">
      <c r="AA1882" s="102"/>
      <c r="AB1882" s="102"/>
      <c r="AC1882" s="103"/>
    </row>
    <row r="1883" spans="27:29" ht="111.75" customHeight="1">
      <c r="AA1883" s="102"/>
      <c r="AB1883" s="102"/>
      <c r="AC1883" s="103"/>
    </row>
    <row r="1884" spans="27:29" ht="111.75" customHeight="1">
      <c r="AA1884" s="102"/>
      <c r="AB1884" s="102"/>
      <c r="AC1884" s="103"/>
    </row>
    <row r="1885" spans="27:29" ht="111.75" customHeight="1">
      <c r="AA1885" s="102"/>
      <c r="AB1885" s="102"/>
      <c r="AC1885" s="103"/>
    </row>
    <row r="1886" spans="27:29" ht="111.75" customHeight="1">
      <c r="AA1886" s="102"/>
      <c r="AB1886" s="102"/>
      <c r="AC1886" s="103"/>
    </row>
    <row r="1887" spans="27:29" ht="111.75" customHeight="1">
      <c r="AA1887" s="102"/>
      <c r="AB1887" s="102"/>
      <c r="AC1887" s="103"/>
    </row>
    <row r="1888" spans="27:29" ht="111.75" customHeight="1">
      <c r="AA1888" s="102"/>
      <c r="AB1888" s="102"/>
      <c r="AC1888" s="103"/>
    </row>
    <row r="1889" spans="27:29" ht="111.75" customHeight="1">
      <c r="AA1889" s="102"/>
      <c r="AB1889" s="102"/>
      <c r="AC1889" s="103"/>
    </row>
    <row r="1890" spans="27:29" ht="111.75" customHeight="1">
      <c r="AA1890" s="102"/>
      <c r="AB1890" s="102"/>
      <c r="AC1890" s="103"/>
    </row>
    <row r="1891" spans="27:29" ht="111.75" customHeight="1">
      <c r="AA1891" s="102"/>
      <c r="AB1891" s="102"/>
      <c r="AC1891" s="103"/>
    </row>
    <row r="1892" spans="27:29" ht="111.75" customHeight="1">
      <c r="AA1892" s="102"/>
      <c r="AB1892" s="102"/>
      <c r="AC1892" s="103"/>
    </row>
    <row r="1893" spans="27:29" ht="111.75" customHeight="1">
      <c r="AA1893" s="102"/>
      <c r="AB1893" s="102"/>
      <c r="AC1893" s="103"/>
    </row>
    <row r="1894" spans="27:29" ht="111.75" customHeight="1">
      <c r="AA1894" s="102"/>
      <c r="AB1894" s="102"/>
      <c r="AC1894" s="103"/>
    </row>
    <row r="1895" spans="27:29" ht="111.75" customHeight="1">
      <c r="AA1895" s="102"/>
      <c r="AB1895" s="102"/>
      <c r="AC1895" s="103"/>
    </row>
    <row r="1896" spans="27:29" ht="111.75" customHeight="1">
      <c r="AA1896" s="102"/>
      <c r="AB1896" s="102"/>
      <c r="AC1896" s="103"/>
    </row>
    <row r="1897" spans="27:29" ht="111.75" customHeight="1">
      <c r="AA1897" s="102"/>
      <c r="AB1897" s="102"/>
      <c r="AC1897" s="103"/>
    </row>
    <row r="1898" spans="27:29" ht="111.75" customHeight="1">
      <c r="AA1898" s="102"/>
      <c r="AB1898" s="102"/>
      <c r="AC1898" s="103"/>
    </row>
    <row r="1899" spans="27:29" ht="111.75" customHeight="1">
      <c r="AA1899" s="102"/>
      <c r="AB1899" s="102"/>
      <c r="AC1899" s="103"/>
    </row>
    <row r="1900" spans="27:29" ht="111.75" customHeight="1">
      <c r="AA1900" s="102"/>
      <c r="AB1900" s="102"/>
      <c r="AC1900" s="103"/>
    </row>
    <row r="1901" spans="27:29" ht="111.75" customHeight="1">
      <c r="AA1901" s="102"/>
      <c r="AB1901" s="102"/>
      <c r="AC1901" s="103"/>
    </row>
    <row r="1902" spans="27:29" ht="111.75" customHeight="1">
      <c r="AA1902" s="102"/>
      <c r="AB1902" s="102"/>
      <c r="AC1902" s="103"/>
    </row>
    <row r="1903" spans="27:29" ht="111.75" customHeight="1">
      <c r="AA1903" s="102"/>
      <c r="AB1903" s="102"/>
      <c r="AC1903" s="103"/>
    </row>
    <row r="1904" spans="27:29" ht="111.75" customHeight="1">
      <c r="AA1904" s="102"/>
      <c r="AB1904" s="102"/>
      <c r="AC1904" s="103"/>
    </row>
    <row r="1905" spans="27:29" ht="111.75" customHeight="1">
      <c r="AA1905" s="102"/>
      <c r="AB1905" s="102"/>
      <c r="AC1905" s="103"/>
    </row>
    <row r="1906" spans="27:29" ht="111.75" customHeight="1">
      <c r="AA1906" s="102"/>
      <c r="AB1906" s="102"/>
      <c r="AC1906" s="103"/>
    </row>
    <row r="1907" spans="27:29" ht="111.75" customHeight="1">
      <c r="AA1907" s="102"/>
      <c r="AB1907" s="102"/>
      <c r="AC1907" s="103"/>
    </row>
    <row r="1908" spans="27:29" ht="111.75" customHeight="1">
      <c r="AA1908" s="102"/>
      <c r="AB1908" s="102"/>
      <c r="AC1908" s="103"/>
    </row>
    <row r="1909" spans="27:29" ht="111.75" customHeight="1">
      <c r="AA1909" s="102"/>
      <c r="AB1909" s="102"/>
      <c r="AC1909" s="103"/>
    </row>
    <row r="1910" spans="27:29" ht="111.75" customHeight="1">
      <c r="AA1910" s="102"/>
      <c r="AB1910" s="102"/>
      <c r="AC1910" s="103"/>
    </row>
    <row r="1911" spans="27:29" ht="111.75" customHeight="1">
      <c r="AA1911" s="102"/>
      <c r="AB1911" s="102"/>
      <c r="AC1911" s="103"/>
    </row>
    <row r="1912" spans="27:29" ht="111.75" customHeight="1">
      <c r="AA1912" s="102"/>
      <c r="AB1912" s="102"/>
      <c r="AC1912" s="103"/>
    </row>
    <row r="1913" spans="27:29" ht="111.75" customHeight="1">
      <c r="AA1913" s="102"/>
      <c r="AB1913" s="102"/>
      <c r="AC1913" s="103"/>
    </row>
    <row r="1914" spans="27:29" ht="111.75" customHeight="1">
      <c r="AA1914" s="102"/>
      <c r="AB1914" s="102"/>
      <c r="AC1914" s="103"/>
    </row>
    <row r="1915" spans="27:29" ht="111.75" customHeight="1">
      <c r="AA1915" s="102"/>
      <c r="AB1915" s="102"/>
      <c r="AC1915" s="103"/>
    </row>
    <row r="1916" spans="27:29" ht="111.75" customHeight="1">
      <c r="AA1916" s="102"/>
      <c r="AB1916" s="102"/>
      <c r="AC1916" s="103"/>
    </row>
    <row r="1917" spans="27:29" ht="111.75" customHeight="1">
      <c r="AA1917" s="102"/>
      <c r="AB1917" s="102"/>
      <c r="AC1917" s="103"/>
    </row>
    <row r="1918" spans="27:29" ht="111.75" customHeight="1">
      <c r="AA1918" s="102"/>
      <c r="AB1918" s="102"/>
      <c r="AC1918" s="103"/>
    </row>
    <row r="1919" spans="27:29" ht="111.75" customHeight="1">
      <c r="AA1919" s="102"/>
      <c r="AB1919" s="102"/>
      <c r="AC1919" s="103"/>
    </row>
    <row r="1920" spans="27:29" ht="111.75" customHeight="1">
      <c r="AA1920" s="102"/>
      <c r="AB1920" s="102"/>
      <c r="AC1920" s="103"/>
    </row>
    <row r="1921" spans="27:29" ht="111.75" customHeight="1">
      <c r="AA1921" s="102"/>
      <c r="AB1921" s="102"/>
      <c r="AC1921" s="103"/>
    </row>
    <row r="1922" spans="27:29" ht="111.75" customHeight="1">
      <c r="AA1922" s="102"/>
      <c r="AB1922" s="102"/>
      <c r="AC1922" s="103"/>
    </row>
    <row r="1923" spans="27:29" ht="111.75" customHeight="1">
      <c r="AA1923" s="102"/>
      <c r="AB1923" s="102"/>
      <c r="AC1923" s="103"/>
    </row>
    <row r="1924" spans="27:29" ht="111.75" customHeight="1">
      <c r="AA1924" s="102"/>
      <c r="AB1924" s="102"/>
      <c r="AC1924" s="103"/>
    </row>
    <row r="1925" spans="27:29" ht="111.75" customHeight="1">
      <c r="AA1925" s="102"/>
      <c r="AB1925" s="102"/>
      <c r="AC1925" s="103"/>
    </row>
    <row r="1926" spans="27:29" ht="111.75" customHeight="1">
      <c r="AA1926" s="102"/>
      <c r="AB1926" s="102"/>
      <c r="AC1926" s="103"/>
    </row>
    <row r="1927" spans="27:29" ht="111.75" customHeight="1">
      <c r="AA1927" s="102"/>
      <c r="AB1927" s="102"/>
      <c r="AC1927" s="103"/>
    </row>
    <row r="1928" spans="27:29" ht="111.75" customHeight="1">
      <c r="AA1928" s="102"/>
      <c r="AB1928" s="102"/>
      <c r="AC1928" s="103"/>
    </row>
    <row r="1929" spans="27:29" ht="111.75" customHeight="1">
      <c r="AA1929" s="102"/>
      <c r="AB1929" s="102"/>
      <c r="AC1929" s="103"/>
    </row>
    <row r="1930" spans="27:29" ht="111.75" customHeight="1">
      <c r="AA1930" s="102"/>
      <c r="AB1930" s="102"/>
      <c r="AC1930" s="103"/>
    </row>
    <row r="1931" spans="27:29" ht="111.75" customHeight="1">
      <c r="AA1931" s="102"/>
      <c r="AB1931" s="102"/>
      <c r="AC1931" s="103"/>
    </row>
    <row r="1932" spans="27:29" ht="111.75" customHeight="1">
      <c r="AA1932" s="102"/>
      <c r="AB1932" s="102"/>
      <c r="AC1932" s="103"/>
    </row>
    <row r="1933" spans="27:29" ht="111.75" customHeight="1">
      <c r="AA1933" s="102"/>
      <c r="AB1933" s="102"/>
      <c r="AC1933" s="103"/>
    </row>
    <row r="1934" spans="27:29" ht="111.75" customHeight="1">
      <c r="AA1934" s="102"/>
      <c r="AB1934" s="102"/>
      <c r="AC1934" s="103"/>
    </row>
    <row r="1935" spans="27:29" ht="111.75" customHeight="1">
      <c r="AA1935" s="102"/>
      <c r="AB1935" s="102"/>
      <c r="AC1935" s="103"/>
    </row>
    <row r="1936" spans="27:29" ht="111.75" customHeight="1">
      <c r="AA1936" s="102"/>
      <c r="AB1936" s="102"/>
      <c r="AC1936" s="103"/>
    </row>
    <row r="1937" spans="27:29" ht="111.75" customHeight="1">
      <c r="AA1937" s="102"/>
      <c r="AB1937" s="102"/>
      <c r="AC1937" s="103"/>
    </row>
    <row r="1938" spans="27:29" ht="111.75" customHeight="1">
      <c r="AA1938" s="102"/>
      <c r="AB1938" s="102"/>
      <c r="AC1938" s="103"/>
    </row>
    <row r="1939" spans="27:29" ht="111.75" customHeight="1">
      <c r="AA1939" s="102"/>
      <c r="AB1939" s="102"/>
      <c r="AC1939" s="103"/>
    </row>
    <row r="1940" spans="27:29" ht="111.75" customHeight="1">
      <c r="AA1940" s="102"/>
      <c r="AB1940" s="102"/>
      <c r="AC1940" s="103"/>
    </row>
    <row r="1941" spans="27:29" ht="111.75" customHeight="1">
      <c r="AA1941" s="102"/>
      <c r="AB1941" s="102"/>
      <c r="AC1941" s="103"/>
    </row>
    <row r="1942" spans="27:29" ht="111.75" customHeight="1">
      <c r="AA1942" s="102"/>
      <c r="AB1942" s="102"/>
      <c r="AC1942" s="103"/>
    </row>
    <row r="1943" spans="27:29" ht="111.75" customHeight="1">
      <c r="AA1943" s="102"/>
      <c r="AB1943" s="102"/>
      <c r="AC1943" s="103"/>
    </row>
    <row r="1944" spans="27:29" ht="111.75" customHeight="1">
      <c r="AA1944" s="102"/>
      <c r="AB1944" s="102"/>
      <c r="AC1944" s="103"/>
    </row>
  </sheetData>
  <sheetProtection/>
  <mergeCells count="29">
    <mergeCell ref="A1:Z1"/>
    <mergeCell ref="C2:Z2"/>
    <mergeCell ref="A3:Z3"/>
    <mergeCell ref="A4:Z4"/>
    <mergeCell ref="F5:G5"/>
    <mergeCell ref="A6:H6"/>
    <mergeCell ref="I24:I26"/>
    <mergeCell ref="K24:K25"/>
    <mergeCell ref="L24:L25"/>
    <mergeCell ref="A24:D25"/>
    <mergeCell ref="F24:F26"/>
    <mergeCell ref="G24:G25"/>
    <mergeCell ref="H24:H25"/>
    <mergeCell ref="T24:T25"/>
    <mergeCell ref="U24:U25"/>
    <mergeCell ref="V24:V25"/>
    <mergeCell ref="N24:N25"/>
    <mergeCell ref="O24:O25"/>
    <mergeCell ref="P24:P25"/>
    <mergeCell ref="W24:W25"/>
    <mergeCell ref="X24:X25"/>
    <mergeCell ref="Y24:Y25"/>
    <mergeCell ref="Z24:Z25"/>
    <mergeCell ref="AA24:AA25"/>
    <mergeCell ref="A26:D26"/>
    <mergeCell ref="J24:J25"/>
    <mergeCell ref="Q24:Q25"/>
    <mergeCell ref="R24:R25"/>
    <mergeCell ref="S24:S25"/>
  </mergeCells>
  <printOptions/>
  <pageMargins left="0.73" right="0.26" top="0.36" bottom="0.27" header="0.28" footer="0.2"/>
  <pageSetup fitToHeight="3" horizontalDpi="300" verticalDpi="300" orientation="portrait" scale="10" r:id="rId4"/>
  <colBreaks count="1" manualBreakCount="1">
    <brk id="13" max="32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Marisabel Garcia</cp:lastModifiedBy>
  <cp:lastPrinted>2014-09-02T13:02:40Z</cp:lastPrinted>
  <dcterms:created xsi:type="dcterms:W3CDTF">2002-08-05T14:07:41Z</dcterms:created>
  <dcterms:modified xsi:type="dcterms:W3CDTF">2015-06-11T14:02:07Z</dcterms:modified>
  <cp:category/>
  <cp:version/>
  <cp:contentType/>
  <cp:contentStatus/>
</cp:coreProperties>
</file>